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idetroitmius-my.sharepoint.com/personal/elaina_peterson_detroitmi_gov/Documents/Desktop/"/>
    </mc:Choice>
  </mc:AlternateContent>
  <xr:revisionPtr revIDLastSave="0" documentId="8_{248269BD-7BE3-4C0F-953A-8D45B6CC8E84}" xr6:coauthVersionLast="47" xr6:coauthVersionMax="47" xr10:uidLastSave="{00000000-0000-0000-0000-000000000000}"/>
  <bookViews>
    <workbookView xWindow="-108" yWindow="-108" windowWidth="23256" windowHeight="12456" xr2:uid="{F961B051-ADF4-4FC7-9235-64D7F872513E}"/>
  </bookViews>
  <sheets>
    <sheet name="Overview" sheetId="4" r:id="rId1"/>
    <sheet name="Unit Summary - Rent Roll" sheetId="7" r:id="rId2"/>
    <sheet name="Financials-FTHP &amp; GAHP" sheetId="5" r:id="rId3"/>
    <sheet name="Financials- SWHP" sheetId="6" r:id="rId4"/>
    <sheet name="List" sheetId="3" state="hidden" r:id="rId5"/>
    <sheet name="Investment Summary" sheetId="8" r:id="rId6"/>
    <sheet name="Legacy Resident Reference" sheetId="11" r:id="rId7"/>
    <sheet name="Data - Reference" sheetId="2" r:id="rId8"/>
  </sheets>
  <definedNames>
    <definedName name="_xlnm._FilterDatabase" localSheetId="7" hidden="1">'Data - Reference'!$B$37:$J$50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 i="2" l="1"/>
  <c r="W13" i="2"/>
  <c r="W14" i="2"/>
  <c r="W15" i="2"/>
  <c r="W16" i="2"/>
  <c r="W17" i="2"/>
  <c r="W18" i="2"/>
  <c r="W19" i="2"/>
  <c r="W20" i="2"/>
  <c r="W21" i="2"/>
  <c r="W22" i="2"/>
  <c r="W23" i="2"/>
  <c r="W11" i="2"/>
  <c r="Q12" i="2"/>
  <c r="Q13" i="2"/>
  <c r="Q14" i="2"/>
  <c r="Q15" i="2"/>
  <c r="Q16" i="2"/>
  <c r="Q17" i="2"/>
  <c r="Q18" i="2"/>
  <c r="Q19" i="2"/>
  <c r="Q20" i="2"/>
  <c r="Q21" i="2"/>
  <c r="Q22" i="2"/>
  <c r="Q23" i="2"/>
  <c r="Q11" i="2"/>
  <c r="Y27"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Y72" i="7"/>
  <c r="Y73" i="7"/>
  <c r="Y74" i="7"/>
  <c r="Y75" i="7"/>
  <c r="Y76" i="7"/>
  <c r="Y77" i="7"/>
  <c r="Y78" i="7"/>
  <c r="Y79" i="7"/>
  <c r="Y80" i="7"/>
  <c r="Y81" i="7"/>
  <c r="Y82" i="7"/>
  <c r="Y83" i="7"/>
  <c r="Y84" i="7"/>
  <c r="Y85" i="7"/>
  <c r="Y86" i="7"/>
  <c r="Y87" i="7"/>
  <c r="Y88" i="7"/>
  <c r="Y89" i="7"/>
  <c r="Y90" i="7"/>
  <c r="Y91" i="7"/>
  <c r="Y92" i="7"/>
  <c r="Y93" i="7"/>
  <c r="Y94" i="7"/>
  <c r="Y95" i="7"/>
  <c r="Y96" i="7"/>
  <c r="Y97" i="7"/>
  <c r="Y98" i="7"/>
  <c r="Y99" i="7"/>
  <c r="Y100" i="7"/>
  <c r="Y101" i="7"/>
  <c r="Y102" i="7"/>
  <c r="Y103" i="7"/>
  <c r="Y104" i="7"/>
  <c r="Y105" i="7"/>
  <c r="Y106" i="7"/>
  <c r="Y107" i="7"/>
  <c r="Y108" i="7"/>
  <c r="Y109" i="7"/>
  <c r="Y110" i="7"/>
  <c r="Y111" i="7"/>
  <c r="Y112" i="7"/>
  <c r="Y113" i="7"/>
  <c r="Y114" i="7"/>
  <c r="Y115" i="7"/>
  <c r="Y116" i="7"/>
  <c r="Y117" i="7"/>
  <c r="Y118" i="7"/>
  <c r="Y119" i="7"/>
  <c r="Y120" i="7"/>
  <c r="Y121" i="7"/>
  <c r="Y122" i="7"/>
  <c r="Y123" i="7"/>
  <c r="Y124" i="7"/>
  <c r="Y125" i="7"/>
  <c r="Y126" i="7"/>
  <c r="AF127" i="7"/>
  <c r="AF128" i="7"/>
  <c r="AF129" i="7"/>
  <c r="AF130" i="7"/>
  <c r="AF131" i="7"/>
  <c r="AF132" i="7"/>
  <c r="AF133" i="7"/>
  <c r="AF134" i="7"/>
  <c r="AF135" i="7"/>
  <c r="AF136" i="7"/>
  <c r="AF137" i="7"/>
  <c r="AF138" i="7"/>
  <c r="AF139" i="7"/>
  <c r="AF140" i="7"/>
  <c r="AF141" i="7"/>
  <c r="AF142" i="7"/>
  <c r="AF143" i="7"/>
  <c r="AF144" i="7"/>
  <c r="AF145" i="7"/>
  <c r="AF146" i="7"/>
  <c r="AF147" i="7"/>
  <c r="AF148" i="7"/>
  <c r="AF149" i="7"/>
  <c r="AF150" i="7"/>
  <c r="AF151" i="7"/>
  <c r="AF152" i="7"/>
  <c r="AF153" i="7"/>
  <c r="AF154" i="7"/>
  <c r="AF155" i="7"/>
  <c r="AF156" i="7"/>
  <c r="AF157" i="7"/>
  <c r="AF158" i="7"/>
  <c r="AF159" i="7"/>
  <c r="AF160" i="7"/>
  <c r="AF161" i="7"/>
  <c r="AF162" i="7"/>
  <c r="AF163" i="7"/>
  <c r="AF164" i="7"/>
  <c r="AF165" i="7"/>
  <c r="AF166" i="7"/>
  <c r="AF167" i="7"/>
  <c r="AF168" i="7"/>
  <c r="AF169" i="7"/>
  <c r="AF170" i="7"/>
  <c r="AF171" i="7"/>
  <c r="AF172" i="7"/>
  <c r="AF173" i="7"/>
  <c r="AF174" i="7"/>
  <c r="AF175" i="7"/>
  <c r="AF176" i="7"/>
  <c r="AF177" i="7"/>
  <c r="AF178" i="7"/>
  <c r="AF179" i="7"/>
  <c r="AF180" i="7"/>
  <c r="AF181" i="7"/>
  <c r="AF182" i="7"/>
  <c r="AF183" i="7"/>
  <c r="AF184" i="7"/>
  <c r="AF185" i="7"/>
  <c r="AF186" i="7"/>
  <c r="AF187" i="7"/>
  <c r="AF188" i="7"/>
  <c r="AF189" i="7"/>
  <c r="AF190" i="7"/>
  <c r="AF191" i="7"/>
  <c r="AF192" i="7"/>
  <c r="AF193" i="7"/>
  <c r="AF194" i="7"/>
  <c r="AF195" i="7"/>
  <c r="AF196" i="7"/>
  <c r="AF197" i="7"/>
  <c r="AF198" i="7"/>
  <c r="AF199" i="7"/>
  <c r="AF200" i="7"/>
  <c r="AF201" i="7"/>
  <c r="AF202" i="7"/>
  <c r="AF203" i="7"/>
  <c r="AF204" i="7"/>
  <c r="AF205" i="7"/>
  <c r="AF206" i="7"/>
  <c r="AF207" i="7"/>
  <c r="AF208" i="7"/>
  <c r="AF209" i="7"/>
  <c r="AF210" i="7"/>
  <c r="AF211" i="7"/>
  <c r="AF212" i="7"/>
  <c r="AF213" i="7"/>
  <c r="AF214" i="7"/>
  <c r="AF215" i="7"/>
  <c r="AF216" i="7"/>
  <c r="AF217" i="7"/>
  <c r="AF218" i="7"/>
  <c r="AF219" i="7"/>
  <c r="AF220" i="7"/>
  <c r="AF221" i="7"/>
  <c r="AF222" i="7"/>
  <c r="AF223" i="7"/>
  <c r="AF224" i="7"/>
  <c r="AF225" i="7"/>
  <c r="AF226" i="7"/>
  <c r="AF227" i="7"/>
  <c r="AF228" i="7"/>
  <c r="AF229" i="7"/>
  <c r="AF230" i="7"/>
  <c r="AF231" i="7"/>
  <c r="AF232" i="7"/>
  <c r="AF233" i="7"/>
  <c r="AF234" i="7"/>
  <c r="AF235" i="7"/>
  <c r="AF236" i="7"/>
  <c r="AF237" i="7"/>
  <c r="AF238" i="7"/>
  <c r="AF239" i="7"/>
  <c r="AF240" i="7"/>
  <c r="AF241" i="7"/>
  <c r="AF242" i="7"/>
  <c r="AF243" i="7"/>
  <c r="AF244" i="7"/>
  <c r="AF245" i="7"/>
  <c r="AF246" i="7"/>
  <c r="AF247" i="7"/>
  <c r="AF248" i="7"/>
  <c r="AF249" i="7"/>
  <c r="AF250" i="7"/>
  <c r="AF251" i="7"/>
  <c r="AF252" i="7"/>
  <c r="AF253" i="7"/>
  <c r="AF254" i="7"/>
  <c r="AF255" i="7"/>
  <c r="AF256" i="7"/>
  <c r="AF257" i="7"/>
  <c r="AF258" i="7"/>
  <c r="AF259" i="7"/>
  <c r="AF260" i="7"/>
  <c r="AF261" i="7"/>
  <c r="AF262" i="7"/>
  <c r="AF263" i="7"/>
  <c r="AF264" i="7"/>
  <c r="AF265" i="7"/>
  <c r="AF266" i="7"/>
  <c r="AF267" i="7"/>
  <c r="AF268" i="7"/>
  <c r="AF269" i="7"/>
  <c r="AF270" i="7"/>
  <c r="AF271" i="7"/>
  <c r="AF272" i="7"/>
  <c r="AF273" i="7"/>
  <c r="AF274" i="7"/>
  <c r="AF275" i="7"/>
  <c r="AF276" i="7"/>
  <c r="AF277" i="7"/>
  <c r="AF278" i="7"/>
  <c r="AF279" i="7"/>
  <c r="AF280" i="7"/>
  <c r="AF281" i="7"/>
  <c r="AF282" i="7"/>
  <c r="AF283" i="7"/>
  <c r="AF284" i="7"/>
  <c r="AF285" i="7"/>
  <c r="AF286" i="7"/>
  <c r="AF287" i="7"/>
  <c r="AF288" i="7"/>
  <c r="AF289" i="7"/>
  <c r="AF290" i="7"/>
  <c r="AF291" i="7"/>
  <c r="AF292" i="7"/>
  <c r="AF293" i="7"/>
  <c r="AF294" i="7"/>
  <c r="AF295" i="7"/>
  <c r="AF296" i="7"/>
  <c r="AF297" i="7"/>
  <c r="AF298" i="7"/>
  <c r="AF299" i="7"/>
  <c r="AF300" i="7"/>
  <c r="AF301" i="7"/>
  <c r="AF302" i="7"/>
  <c r="AF303" i="7"/>
  <c r="AF304" i="7"/>
  <c r="AF305" i="7"/>
  <c r="AF306" i="7"/>
  <c r="AF307" i="7"/>
  <c r="AF308" i="7"/>
  <c r="AF309" i="7"/>
  <c r="AF310" i="7"/>
  <c r="AF311" i="7"/>
  <c r="AF312" i="7"/>
  <c r="AF313" i="7"/>
  <c r="AF314" i="7"/>
  <c r="AF315" i="7"/>
  <c r="AF316" i="7"/>
  <c r="AF317" i="7"/>
  <c r="AF318" i="7"/>
  <c r="AF319" i="7"/>
  <c r="AF320" i="7"/>
  <c r="AF321" i="7"/>
  <c r="AF322" i="7"/>
  <c r="AF323" i="7"/>
  <c r="AF324" i="7"/>
  <c r="AF325" i="7"/>
  <c r="AF326"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F72" i="7"/>
  <c r="AF73" i="7"/>
  <c r="AF74" i="7"/>
  <c r="AF75" i="7"/>
  <c r="AF76" i="7"/>
  <c r="AF77" i="7"/>
  <c r="AF78" i="7"/>
  <c r="AF79" i="7"/>
  <c r="AF80" i="7"/>
  <c r="AF81" i="7"/>
  <c r="AF82" i="7"/>
  <c r="AF83" i="7"/>
  <c r="AF84" i="7"/>
  <c r="AF85" i="7"/>
  <c r="AF86" i="7"/>
  <c r="AF87" i="7"/>
  <c r="AF88" i="7"/>
  <c r="AF89" i="7"/>
  <c r="AF90" i="7"/>
  <c r="AF91" i="7"/>
  <c r="AF92" i="7"/>
  <c r="AF93" i="7"/>
  <c r="AF94" i="7"/>
  <c r="AF95" i="7"/>
  <c r="AF96" i="7"/>
  <c r="AF97" i="7"/>
  <c r="AF98" i="7"/>
  <c r="AF99" i="7"/>
  <c r="AF100" i="7"/>
  <c r="AF101" i="7"/>
  <c r="AF102" i="7"/>
  <c r="AF103" i="7"/>
  <c r="AF104" i="7"/>
  <c r="AF105" i="7"/>
  <c r="AF106" i="7"/>
  <c r="AF107" i="7"/>
  <c r="AF108" i="7"/>
  <c r="AF109" i="7"/>
  <c r="AF110" i="7"/>
  <c r="AF111" i="7"/>
  <c r="AF112" i="7"/>
  <c r="AF113" i="7"/>
  <c r="AF114" i="7"/>
  <c r="AF115" i="7"/>
  <c r="AF116" i="7"/>
  <c r="AF117" i="7"/>
  <c r="AF118" i="7"/>
  <c r="AF119" i="7"/>
  <c r="AF120" i="7"/>
  <c r="AF121" i="7"/>
  <c r="AF122" i="7"/>
  <c r="AF123" i="7"/>
  <c r="AF124" i="7"/>
  <c r="AF125" i="7"/>
  <c r="AF126" i="7"/>
  <c r="AF27" i="7"/>
  <c r="AJ28" i="7"/>
  <c r="AK28" i="7" s="1"/>
  <c r="Y28" i="7"/>
  <c r="X28" i="7"/>
  <c r="Z28" i="7" s="1"/>
  <c r="W28" i="7"/>
  <c r="V28" i="7"/>
  <c r="T28" i="7"/>
  <c r="S28" i="7"/>
  <c r="O28" i="7"/>
  <c r="I28" i="7"/>
  <c r="AJ29" i="7"/>
  <c r="X29" i="7"/>
  <c r="Z29" i="7" s="1"/>
  <c r="W29" i="7"/>
  <c r="V29" i="7"/>
  <c r="T29" i="7"/>
  <c r="S29" i="7"/>
  <c r="O29" i="7"/>
  <c r="I29" i="7"/>
  <c r="AJ30" i="7"/>
  <c r="AK30" i="7" s="1"/>
  <c r="X30" i="7"/>
  <c r="Z30" i="7" s="1"/>
  <c r="W30" i="7"/>
  <c r="V30" i="7"/>
  <c r="T30" i="7"/>
  <c r="S30" i="7"/>
  <c r="O30" i="7"/>
  <c r="I30" i="7"/>
  <c r="AJ31" i="7"/>
  <c r="AK31" i="7" s="1"/>
  <c r="X31" i="7"/>
  <c r="Z31" i="7" s="1"/>
  <c r="W31" i="7"/>
  <c r="V31" i="7"/>
  <c r="T31" i="7"/>
  <c r="S31" i="7"/>
  <c r="O31" i="7"/>
  <c r="I31" i="7"/>
  <c r="AJ129" i="7"/>
  <c r="Y129" i="7"/>
  <c r="X129" i="7"/>
  <c r="Z129" i="7" s="1"/>
  <c r="W129" i="7"/>
  <c r="V129" i="7"/>
  <c r="T129" i="7"/>
  <c r="S129" i="7"/>
  <c r="O129" i="7"/>
  <c r="I129" i="7"/>
  <c r="AJ128" i="7"/>
  <c r="AK128" i="7" s="1"/>
  <c r="Y128" i="7"/>
  <c r="X128" i="7"/>
  <c r="Z128" i="7" s="1"/>
  <c r="W128" i="7"/>
  <c r="V128" i="7"/>
  <c r="T128" i="7"/>
  <c r="S128" i="7"/>
  <c r="O128" i="7"/>
  <c r="I128" i="7"/>
  <c r="AJ127" i="7"/>
  <c r="Y127" i="7"/>
  <c r="X127" i="7"/>
  <c r="Z127" i="7" s="1"/>
  <c r="W127" i="7"/>
  <c r="V127" i="7"/>
  <c r="T127" i="7"/>
  <c r="S127" i="7"/>
  <c r="O127" i="7"/>
  <c r="I127" i="7"/>
  <c r="AJ126" i="7"/>
  <c r="X126" i="7"/>
  <c r="Z126" i="7" s="1"/>
  <c r="W126" i="7"/>
  <c r="V126" i="7"/>
  <c r="T126" i="7"/>
  <c r="S126" i="7"/>
  <c r="O126" i="7"/>
  <c r="I126" i="7"/>
  <c r="AJ125" i="7"/>
  <c r="AK125" i="7" s="1"/>
  <c r="X125" i="7"/>
  <c r="Z125" i="7" s="1"/>
  <c r="W125" i="7"/>
  <c r="V125" i="7"/>
  <c r="T125" i="7"/>
  <c r="S125" i="7"/>
  <c r="O125" i="7"/>
  <c r="I125" i="7"/>
  <c r="AJ124" i="7"/>
  <c r="X124" i="7"/>
  <c r="Z124" i="7" s="1"/>
  <c r="W124" i="7"/>
  <c r="V124" i="7"/>
  <c r="T124" i="7"/>
  <c r="S124" i="7"/>
  <c r="O124" i="7"/>
  <c r="I124" i="7"/>
  <c r="AJ123" i="7"/>
  <c r="AK123" i="7" s="1"/>
  <c r="X123" i="7"/>
  <c r="Z123" i="7" s="1"/>
  <c r="W123" i="7"/>
  <c r="V123" i="7"/>
  <c r="T123" i="7"/>
  <c r="S123" i="7"/>
  <c r="O123" i="7"/>
  <c r="I123" i="7"/>
  <c r="AJ122" i="7"/>
  <c r="AK122" i="7" s="1"/>
  <c r="X122" i="7"/>
  <c r="Z122" i="7" s="1"/>
  <c r="W122" i="7"/>
  <c r="V122" i="7"/>
  <c r="T122" i="7"/>
  <c r="S122" i="7"/>
  <c r="O122" i="7"/>
  <c r="I122" i="7"/>
  <c r="AJ121" i="7"/>
  <c r="AK121" i="7" s="1"/>
  <c r="X121" i="7"/>
  <c r="Z121" i="7" s="1"/>
  <c r="W121" i="7"/>
  <c r="V121" i="7"/>
  <c r="T121" i="7"/>
  <c r="S121" i="7"/>
  <c r="O121" i="7"/>
  <c r="I121" i="7"/>
  <c r="AJ120" i="7"/>
  <c r="AK120" i="7" s="1"/>
  <c r="X120" i="7"/>
  <c r="Z120" i="7" s="1"/>
  <c r="W120" i="7"/>
  <c r="V120" i="7"/>
  <c r="T120" i="7"/>
  <c r="S120" i="7"/>
  <c r="O120" i="7"/>
  <c r="I120" i="7"/>
  <c r="AJ119" i="7"/>
  <c r="AK119" i="7" s="1"/>
  <c r="X119" i="7"/>
  <c r="Z119" i="7" s="1"/>
  <c r="AB119" i="7" s="1"/>
  <c r="W119" i="7"/>
  <c r="V119" i="7"/>
  <c r="T119" i="7"/>
  <c r="S119" i="7"/>
  <c r="O119" i="7"/>
  <c r="I119" i="7"/>
  <c r="AJ118" i="7"/>
  <c r="X118" i="7"/>
  <c r="Z118" i="7" s="1"/>
  <c r="W118" i="7"/>
  <c r="V118" i="7"/>
  <c r="T118" i="7"/>
  <c r="S118" i="7"/>
  <c r="O118" i="7"/>
  <c r="I118" i="7"/>
  <c r="AJ117" i="7"/>
  <c r="X117" i="7"/>
  <c r="Z117" i="7" s="1"/>
  <c r="W117" i="7"/>
  <c r="V117" i="7"/>
  <c r="T117" i="7"/>
  <c r="S117" i="7"/>
  <c r="O117" i="7"/>
  <c r="I117" i="7"/>
  <c r="AJ116" i="7"/>
  <c r="AK116" i="7" s="1"/>
  <c r="X116" i="7"/>
  <c r="Z116" i="7" s="1"/>
  <c r="W116" i="7"/>
  <c r="V116" i="7"/>
  <c r="T116" i="7"/>
  <c r="S116" i="7"/>
  <c r="O116" i="7"/>
  <c r="I116" i="7"/>
  <c r="AJ115" i="7"/>
  <c r="X115" i="7"/>
  <c r="Z115" i="7" s="1"/>
  <c r="W115" i="7"/>
  <c r="V115" i="7"/>
  <c r="T115" i="7"/>
  <c r="S115" i="7"/>
  <c r="O115" i="7"/>
  <c r="I115" i="7"/>
  <c r="AJ114" i="7"/>
  <c r="AK114" i="7" s="1"/>
  <c r="X114" i="7"/>
  <c r="Z114" i="7" s="1"/>
  <c r="W114" i="7"/>
  <c r="V114" i="7"/>
  <c r="T114" i="7"/>
  <c r="S114" i="7"/>
  <c r="O114" i="7"/>
  <c r="I114" i="7"/>
  <c r="AJ113" i="7"/>
  <c r="AK113" i="7" s="1"/>
  <c r="X113" i="7"/>
  <c r="Z113" i="7" s="1"/>
  <c r="W113" i="7"/>
  <c r="V113" i="7"/>
  <c r="T113" i="7"/>
  <c r="S113" i="7"/>
  <c r="O113" i="7"/>
  <c r="I113" i="7"/>
  <c r="AJ112" i="7"/>
  <c r="AK112" i="7" s="1"/>
  <c r="X112" i="7"/>
  <c r="Z112" i="7" s="1"/>
  <c r="AB112" i="7" s="1"/>
  <c r="W112" i="7"/>
  <c r="V112" i="7"/>
  <c r="T112" i="7"/>
  <c r="S112" i="7"/>
  <c r="O112" i="7"/>
  <c r="I112" i="7"/>
  <c r="AJ111" i="7"/>
  <c r="X111" i="7"/>
  <c r="Z111" i="7" s="1"/>
  <c r="W111" i="7"/>
  <c r="V111" i="7"/>
  <c r="T111" i="7"/>
  <c r="S111" i="7"/>
  <c r="O111" i="7"/>
  <c r="I111" i="7"/>
  <c r="AJ110" i="7"/>
  <c r="AK110" i="7" s="1"/>
  <c r="X110" i="7"/>
  <c r="Z110" i="7" s="1"/>
  <c r="W110" i="7"/>
  <c r="V110" i="7"/>
  <c r="T110" i="7"/>
  <c r="S110" i="7"/>
  <c r="O110" i="7"/>
  <c r="I110" i="7"/>
  <c r="AJ109" i="7"/>
  <c r="AK109" i="7" s="1"/>
  <c r="X109" i="7"/>
  <c r="Z109" i="7" s="1"/>
  <c r="W109" i="7"/>
  <c r="V109" i="7"/>
  <c r="T109" i="7"/>
  <c r="S109" i="7"/>
  <c r="O109" i="7"/>
  <c r="I109" i="7"/>
  <c r="AJ108" i="7"/>
  <c r="AK108" i="7" s="1"/>
  <c r="X108" i="7"/>
  <c r="Z108" i="7" s="1"/>
  <c r="W108" i="7"/>
  <c r="V108" i="7"/>
  <c r="T108" i="7"/>
  <c r="S108" i="7"/>
  <c r="O108" i="7"/>
  <c r="I108" i="7"/>
  <c r="AJ107" i="7"/>
  <c r="AK107" i="7" s="1"/>
  <c r="X107" i="7"/>
  <c r="Z107" i="7" s="1"/>
  <c r="AA107" i="7" s="1"/>
  <c r="W107" i="7"/>
  <c r="V107" i="7"/>
  <c r="T107" i="7"/>
  <c r="S107" i="7"/>
  <c r="O107" i="7"/>
  <c r="I107" i="7"/>
  <c r="AJ106" i="7"/>
  <c r="X106" i="7"/>
  <c r="Z106" i="7" s="1"/>
  <c r="W106" i="7"/>
  <c r="V106" i="7"/>
  <c r="T106" i="7"/>
  <c r="S106" i="7"/>
  <c r="O106" i="7"/>
  <c r="I106" i="7"/>
  <c r="AJ105" i="7"/>
  <c r="AK105" i="7" s="1"/>
  <c r="X105" i="7"/>
  <c r="Z105" i="7" s="1"/>
  <c r="W105" i="7"/>
  <c r="V105" i="7"/>
  <c r="T105" i="7"/>
  <c r="S105" i="7"/>
  <c r="O105" i="7"/>
  <c r="I105" i="7"/>
  <c r="AJ104" i="7"/>
  <c r="AK104" i="7" s="1"/>
  <c r="X104" i="7"/>
  <c r="Z104" i="7" s="1"/>
  <c r="W104" i="7"/>
  <c r="V104" i="7"/>
  <c r="T104" i="7"/>
  <c r="S104" i="7"/>
  <c r="O104" i="7"/>
  <c r="I104" i="7"/>
  <c r="AJ103" i="7"/>
  <c r="X103" i="7"/>
  <c r="Z103" i="7" s="1"/>
  <c r="AA103" i="7" s="1"/>
  <c r="W103" i="7"/>
  <c r="V103" i="7"/>
  <c r="T103" i="7"/>
  <c r="S103" i="7"/>
  <c r="O103" i="7"/>
  <c r="I103" i="7"/>
  <c r="AJ102" i="7"/>
  <c r="AK102" i="7" s="1"/>
  <c r="X102" i="7"/>
  <c r="Z102" i="7" s="1"/>
  <c r="W102" i="7"/>
  <c r="V102" i="7"/>
  <c r="T102" i="7"/>
  <c r="S102" i="7"/>
  <c r="O102" i="7"/>
  <c r="I102" i="7"/>
  <c r="AJ101" i="7"/>
  <c r="AK101" i="7" s="1"/>
  <c r="X101" i="7"/>
  <c r="Z101" i="7" s="1"/>
  <c r="W101" i="7"/>
  <c r="V101" i="7"/>
  <c r="T101" i="7"/>
  <c r="S101" i="7"/>
  <c r="O101" i="7"/>
  <c r="I101" i="7"/>
  <c r="AJ100" i="7"/>
  <c r="X100" i="7"/>
  <c r="Z100" i="7" s="1"/>
  <c r="AC100" i="7" s="1"/>
  <c r="W100" i="7"/>
  <c r="V100" i="7"/>
  <c r="T100" i="7"/>
  <c r="S100" i="7"/>
  <c r="O100" i="7"/>
  <c r="I100" i="7"/>
  <c r="AJ99" i="7"/>
  <c r="AK99" i="7" s="1"/>
  <c r="X99" i="7"/>
  <c r="Z99" i="7" s="1"/>
  <c r="W99" i="7"/>
  <c r="V99" i="7"/>
  <c r="T99" i="7"/>
  <c r="S99" i="7"/>
  <c r="O99" i="7"/>
  <c r="I99" i="7"/>
  <c r="AJ98" i="7"/>
  <c r="AK98" i="7" s="1"/>
  <c r="X98" i="7"/>
  <c r="Z98" i="7" s="1"/>
  <c r="AA98" i="7" s="1"/>
  <c r="W98" i="7"/>
  <c r="V98" i="7"/>
  <c r="T98" i="7"/>
  <c r="S98" i="7"/>
  <c r="O98" i="7"/>
  <c r="I98" i="7"/>
  <c r="AJ97" i="7"/>
  <c r="X97" i="7"/>
  <c r="Z97" i="7" s="1"/>
  <c r="W97" i="7"/>
  <c r="V97" i="7"/>
  <c r="T97" i="7"/>
  <c r="S97" i="7"/>
  <c r="O97" i="7"/>
  <c r="I97" i="7"/>
  <c r="AJ96" i="7"/>
  <c r="AK96" i="7" s="1"/>
  <c r="X96" i="7"/>
  <c r="Z96" i="7" s="1"/>
  <c r="AC96" i="7" s="1"/>
  <c r="AD96" i="7" s="1"/>
  <c r="W96" i="7"/>
  <c r="V96" i="7"/>
  <c r="T96" i="7"/>
  <c r="S96" i="7"/>
  <c r="O96" i="7"/>
  <c r="I96" i="7"/>
  <c r="AJ95" i="7"/>
  <c r="AK95" i="7" s="1"/>
  <c r="X95" i="7"/>
  <c r="Z95" i="7" s="1"/>
  <c r="AA95" i="7" s="1"/>
  <c r="W95" i="7"/>
  <c r="V95" i="7"/>
  <c r="T95" i="7"/>
  <c r="S95" i="7"/>
  <c r="O95" i="7"/>
  <c r="I95" i="7"/>
  <c r="AJ94" i="7"/>
  <c r="X94" i="7"/>
  <c r="Z94" i="7" s="1"/>
  <c r="W94" i="7"/>
  <c r="V94" i="7"/>
  <c r="T94" i="7"/>
  <c r="S94" i="7"/>
  <c r="O94" i="7"/>
  <c r="I94" i="7"/>
  <c r="AJ93" i="7"/>
  <c r="AK93" i="7" s="1"/>
  <c r="X93" i="7"/>
  <c r="Z93" i="7" s="1"/>
  <c r="W93" i="7"/>
  <c r="V93" i="7"/>
  <c r="T93" i="7"/>
  <c r="S93" i="7"/>
  <c r="O93" i="7"/>
  <c r="I93" i="7"/>
  <c r="AJ92" i="7"/>
  <c r="AK92" i="7" s="1"/>
  <c r="X92" i="7"/>
  <c r="Z92" i="7" s="1"/>
  <c r="W92" i="7"/>
  <c r="V92" i="7"/>
  <c r="T92" i="7"/>
  <c r="S92" i="7"/>
  <c r="O92" i="7"/>
  <c r="I92" i="7"/>
  <c r="AJ91" i="7"/>
  <c r="X91" i="7"/>
  <c r="Z91" i="7" s="1"/>
  <c r="W91" i="7"/>
  <c r="V91" i="7"/>
  <c r="T91" i="7"/>
  <c r="S91" i="7"/>
  <c r="O91" i="7"/>
  <c r="I91" i="7"/>
  <c r="AJ90" i="7"/>
  <c r="AK90" i="7" s="1"/>
  <c r="X90" i="7"/>
  <c r="Z90" i="7" s="1"/>
  <c r="W90" i="7"/>
  <c r="V90" i="7"/>
  <c r="T90" i="7"/>
  <c r="S90" i="7"/>
  <c r="O90" i="7"/>
  <c r="I90" i="7"/>
  <c r="AJ89" i="7"/>
  <c r="AK89" i="7" s="1"/>
  <c r="X89" i="7"/>
  <c r="Z89" i="7" s="1"/>
  <c r="W89" i="7"/>
  <c r="V89" i="7"/>
  <c r="T89" i="7"/>
  <c r="S89" i="7"/>
  <c r="O89" i="7"/>
  <c r="I89" i="7"/>
  <c r="AJ88" i="7"/>
  <c r="X88" i="7"/>
  <c r="Z88" i="7" s="1"/>
  <c r="AC88" i="7" s="1"/>
  <c r="AE88" i="7" s="1"/>
  <c r="AH88" i="7" s="1"/>
  <c r="W88" i="7"/>
  <c r="V88" i="7"/>
  <c r="T88" i="7"/>
  <c r="S88" i="7"/>
  <c r="O88" i="7"/>
  <c r="I88" i="7"/>
  <c r="AJ87" i="7"/>
  <c r="AK87" i="7" s="1"/>
  <c r="X87" i="7"/>
  <c r="Z87" i="7" s="1"/>
  <c r="W87" i="7"/>
  <c r="V87" i="7"/>
  <c r="T87" i="7"/>
  <c r="S87" i="7"/>
  <c r="O87" i="7"/>
  <c r="I87" i="7"/>
  <c r="AJ86" i="7"/>
  <c r="AK86" i="7" s="1"/>
  <c r="X86" i="7"/>
  <c r="Z86" i="7" s="1"/>
  <c r="W86" i="7"/>
  <c r="V86" i="7"/>
  <c r="T86" i="7"/>
  <c r="S86" i="7"/>
  <c r="O86" i="7"/>
  <c r="I86" i="7"/>
  <c r="AJ85" i="7"/>
  <c r="X85" i="7"/>
  <c r="Z85" i="7" s="1"/>
  <c r="W85" i="7"/>
  <c r="V85" i="7"/>
  <c r="T85" i="7"/>
  <c r="S85" i="7"/>
  <c r="O85" i="7"/>
  <c r="I85" i="7"/>
  <c r="AJ84" i="7"/>
  <c r="AK84" i="7" s="1"/>
  <c r="X84" i="7"/>
  <c r="Z84" i="7" s="1"/>
  <c r="AC84" i="7" s="1"/>
  <c r="AD84" i="7" s="1"/>
  <c r="W84" i="7"/>
  <c r="V84" i="7"/>
  <c r="T84" i="7"/>
  <c r="S84" i="7"/>
  <c r="O84" i="7"/>
  <c r="I84" i="7"/>
  <c r="AJ83" i="7"/>
  <c r="AK83" i="7" s="1"/>
  <c r="X83" i="7"/>
  <c r="Z83" i="7" s="1"/>
  <c r="AA83" i="7" s="1"/>
  <c r="W83" i="7"/>
  <c r="V83" i="7"/>
  <c r="T83" i="7"/>
  <c r="S83" i="7"/>
  <c r="O83" i="7"/>
  <c r="I83" i="7"/>
  <c r="AJ82" i="7"/>
  <c r="X82" i="7"/>
  <c r="Z82" i="7" s="1"/>
  <c r="AC82" i="7" s="1"/>
  <c r="W82" i="7"/>
  <c r="V82" i="7"/>
  <c r="T82" i="7"/>
  <c r="S82" i="7"/>
  <c r="O82" i="7"/>
  <c r="I82" i="7"/>
  <c r="AJ81" i="7"/>
  <c r="AK81" i="7" s="1"/>
  <c r="X81" i="7"/>
  <c r="Z81" i="7" s="1"/>
  <c r="W81" i="7"/>
  <c r="V81" i="7"/>
  <c r="T81" i="7"/>
  <c r="S81" i="7"/>
  <c r="O81" i="7"/>
  <c r="I81" i="7"/>
  <c r="AJ80" i="7"/>
  <c r="AK80" i="7" s="1"/>
  <c r="X80" i="7"/>
  <c r="Z80" i="7" s="1"/>
  <c r="W80" i="7"/>
  <c r="V80" i="7"/>
  <c r="T80" i="7"/>
  <c r="S80" i="7"/>
  <c r="O80" i="7"/>
  <c r="I80" i="7"/>
  <c r="AJ79" i="7"/>
  <c r="AK79" i="7" s="1"/>
  <c r="X79" i="7"/>
  <c r="Z79" i="7" s="1"/>
  <c r="AB79" i="7" s="1"/>
  <c r="W79" i="7"/>
  <c r="V79" i="7"/>
  <c r="T79" i="7"/>
  <c r="S79" i="7"/>
  <c r="O79" i="7"/>
  <c r="I79" i="7"/>
  <c r="AJ78" i="7"/>
  <c r="AK78" i="7" s="1"/>
  <c r="X78" i="7"/>
  <c r="Z78" i="7" s="1"/>
  <c r="W78" i="7"/>
  <c r="V78" i="7"/>
  <c r="T78" i="7"/>
  <c r="S78" i="7"/>
  <c r="O78" i="7"/>
  <c r="I78" i="7"/>
  <c r="AJ77" i="7"/>
  <c r="X77" i="7"/>
  <c r="Z77" i="7" s="1"/>
  <c r="W77" i="7"/>
  <c r="V77" i="7"/>
  <c r="T77" i="7"/>
  <c r="S77" i="7"/>
  <c r="O77" i="7"/>
  <c r="I77" i="7"/>
  <c r="AJ76" i="7"/>
  <c r="AK76" i="7" s="1"/>
  <c r="X76" i="7"/>
  <c r="Z76" i="7" s="1"/>
  <c r="W76" i="7"/>
  <c r="V76" i="7"/>
  <c r="T76" i="7"/>
  <c r="S76" i="7"/>
  <c r="O76" i="7"/>
  <c r="I76" i="7"/>
  <c r="AJ75" i="7"/>
  <c r="AK75" i="7" s="1"/>
  <c r="X75" i="7"/>
  <c r="Z75" i="7" s="1"/>
  <c r="W75" i="7"/>
  <c r="V75" i="7"/>
  <c r="T75" i="7"/>
  <c r="S75" i="7"/>
  <c r="O75" i="7"/>
  <c r="I75" i="7"/>
  <c r="AJ74" i="7"/>
  <c r="AK74" i="7" s="1"/>
  <c r="X74" i="7"/>
  <c r="Z74" i="7" s="1"/>
  <c r="W74" i="7"/>
  <c r="V74" i="7"/>
  <c r="T74" i="7"/>
  <c r="S74" i="7"/>
  <c r="O74" i="7"/>
  <c r="I74" i="7"/>
  <c r="AJ73" i="7"/>
  <c r="AK73" i="7" s="1"/>
  <c r="X73" i="7"/>
  <c r="Z73" i="7" s="1"/>
  <c r="AA73" i="7" s="1"/>
  <c r="W73" i="7"/>
  <c r="V73" i="7"/>
  <c r="T73" i="7"/>
  <c r="S73" i="7"/>
  <c r="O73" i="7"/>
  <c r="I73" i="7"/>
  <c r="AJ72" i="7"/>
  <c r="AK72" i="7" s="1"/>
  <c r="X72" i="7"/>
  <c r="Z72" i="7" s="1"/>
  <c r="W72" i="7"/>
  <c r="V72" i="7"/>
  <c r="T72" i="7"/>
  <c r="S72" i="7"/>
  <c r="O72" i="7"/>
  <c r="I72" i="7"/>
  <c r="AJ71" i="7"/>
  <c r="AK71" i="7" s="1"/>
  <c r="X71" i="7"/>
  <c r="Z71" i="7" s="1"/>
  <c r="W71" i="7"/>
  <c r="V71" i="7"/>
  <c r="T71" i="7"/>
  <c r="S71" i="7"/>
  <c r="O71" i="7"/>
  <c r="I71" i="7"/>
  <c r="AJ70" i="7"/>
  <c r="X70" i="7"/>
  <c r="Z70" i="7" s="1"/>
  <c r="W70" i="7"/>
  <c r="V70" i="7"/>
  <c r="T70" i="7"/>
  <c r="S70" i="7"/>
  <c r="O70" i="7"/>
  <c r="I70" i="7"/>
  <c r="AJ69" i="7"/>
  <c r="AK69" i="7" s="1"/>
  <c r="X69" i="7"/>
  <c r="Z69" i="7" s="1"/>
  <c r="W69" i="7"/>
  <c r="V69" i="7"/>
  <c r="T69" i="7"/>
  <c r="S69" i="7"/>
  <c r="O69" i="7"/>
  <c r="I69" i="7"/>
  <c r="AJ68" i="7"/>
  <c r="X68" i="7"/>
  <c r="Z68" i="7" s="1"/>
  <c r="W68" i="7"/>
  <c r="V68" i="7"/>
  <c r="T68" i="7"/>
  <c r="S68" i="7"/>
  <c r="O68" i="7"/>
  <c r="I68" i="7"/>
  <c r="AJ67" i="7"/>
  <c r="AK67" i="7" s="1"/>
  <c r="X67" i="7"/>
  <c r="Z67" i="7" s="1"/>
  <c r="AA67" i="7" s="1"/>
  <c r="W67" i="7"/>
  <c r="V67" i="7"/>
  <c r="T67" i="7"/>
  <c r="S67" i="7"/>
  <c r="O67" i="7"/>
  <c r="I67" i="7"/>
  <c r="AJ66" i="7"/>
  <c r="X66" i="7"/>
  <c r="Z66" i="7" s="1"/>
  <c r="AB66" i="7" s="1"/>
  <c r="W66" i="7"/>
  <c r="V66" i="7"/>
  <c r="T66" i="7"/>
  <c r="S66" i="7"/>
  <c r="O66" i="7"/>
  <c r="I66" i="7"/>
  <c r="AJ65" i="7"/>
  <c r="X65" i="7"/>
  <c r="Z65" i="7" s="1"/>
  <c r="W65" i="7"/>
  <c r="V65" i="7"/>
  <c r="T65" i="7"/>
  <c r="S65" i="7"/>
  <c r="O65" i="7"/>
  <c r="I65" i="7"/>
  <c r="AJ64" i="7"/>
  <c r="AK64" i="7" s="1"/>
  <c r="X64" i="7"/>
  <c r="Z64" i="7" s="1"/>
  <c r="AB64" i="7" s="1"/>
  <c r="W64" i="7"/>
  <c r="V64" i="7"/>
  <c r="T64" i="7"/>
  <c r="S64" i="7"/>
  <c r="O64" i="7"/>
  <c r="I64" i="7"/>
  <c r="AJ63" i="7"/>
  <c r="AK63" i="7" s="1"/>
  <c r="X63" i="7"/>
  <c r="Z63" i="7" s="1"/>
  <c r="W63" i="7"/>
  <c r="V63" i="7"/>
  <c r="T63" i="7"/>
  <c r="S63" i="7"/>
  <c r="O63" i="7"/>
  <c r="I63" i="7"/>
  <c r="AJ62" i="7"/>
  <c r="AK62" i="7" s="1"/>
  <c r="X62" i="7"/>
  <c r="Z62" i="7" s="1"/>
  <c r="W62" i="7"/>
  <c r="V62" i="7"/>
  <c r="T62" i="7"/>
  <c r="S62" i="7"/>
  <c r="O62" i="7"/>
  <c r="I62" i="7"/>
  <c r="AJ61" i="7"/>
  <c r="X61" i="7"/>
  <c r="Z61" i="7" s="1"/>
  <c r="W61" i="7"/>
  <c r="V61" i="7"/>
  <c r="T61" i="7"/>
  <c r="S61" i="7"/>
  <c r="O61" i="7"/>
  <c r="I61" i="7"/>
  <c r="AJ60" i="7"/>
  <c r="AK60" i="7" s="1"/>
  <c r="X60" i="7"/>
  <c r="W60" i="7"/>
  <c r="V60" i="7"/>
  <c r="T60" i="7"/>
  <c r="S60" i="7"/>
  <c r="O60" i="7"/>
  <c r="I60" i="7"/>
  <c r="AJ59" i="7"/>
  <c r="AK59" i="7" s="1"/>
  <c r="X59" i="7"/>
  <c r="W59" i="7"/>
  <c r="V59" i="7"/>
  <c r="T59" i="7"/>
  <c r="S59" i="7"/>
  <c r="O59" i="7"/>
  <c r="I59" i="7"/>
  <c r="AJ58" i="7"/>
  <c r="AK58" i="7" s="1"/>
  <c r="X58" i="7"/>
  <c r="Z58" i="7" s="1"/>
  <c r="W58" i="7"/>
  <c r="V58" i="7"/>
  <c r="T58" i="7"/>
  <c r="S58" i="7"/>
  <c r="O58" i="7"/>
  <c r="I58" i="7"/>
  <c r="AJ57" i="7"/>
  <c r="AK57" i="7" s="1"/>
  <c r="X57" i="7"/>
  <c r="Z57" i="7" s="1"/>
  <c r="W57" i="7"/>
  <c r="V57" i="7"/>
  <c r="T57" i="7"/>
  <c r="S57" i="7"/>
  <c r="O57" i="7"/>
  <c r="I57" i="7"/>
  <c r="AJ56" i="7"/>
  <c r="AK56" i="7" s="1"/>
  <c r="X56" i="7"/>
  <c r="Z56" i="7" s="1"/>
  <c r="W56" i="7"/>
  <c r="V56" i="7"/>
  <c r="T56" i="7"/>
  <c r="S56" i="7"/>
  <c r="O56" i="7"/>
  <c r="I56" i="7"/>
  <c r="AJ55" i="7"/>
  <c r="AK55" i="7" s="1"/>
  <c r="X55" i="7"/>
  <c r="Z55" i="7" s="1"/>
  <c r="W55" i="7"/>
  <c r="V55" i="7"/>
  <c r="T55" i="7"/>
  <c r="S55" i="7"/>
  <c r="O55" i="7"/>
  <c r="I55" i="7"/>
  <c r="AJ54" i="7"/>
  <c r="AK54" i="7" s="1"/>
  <c r="X54" i="7"/>
  <c r="Z54" i="7" s="1"/>
  <c r="W54" i="7"/>
  <c r="V54" i="7"/>
  <c r="T54" i="7"/>
  <c r="S54" i="7"/>
  <c r="O54" i="7"/>
  <c r="I54" i="7"/>
  <c r="AJ53" i="7"/>
  <c r="AK53" i="7" s="1"/>
  <c r="X53" i="7"/>
  <c r="Z53" i="7" s="1"/>
  <c r="W53" i="7"/>
  <c r="V53" i="7"/>
  <c r="T53" i="7"/>
  <c r="S53" i="7"/>
  <c r="O53" i="7"/>
  <c r="I53" i="7"/>
  <c r="AJ52" i="7"/>
  <c r="AK52" i="7" s="1"/>
  <c r="X52" i="7"/>
  <c r="Z52" i="7" s="1"/>
  <c r="W52" i="7"/>
  <c r="V52" i="7"/>
  <c r="T52" i="7"/>
  <c r="S52" i="7"/>
  <c r="O52" i="7"/>
  <c r="I52" i="7"/>
  <c r="AJ51" i="7"/>
  <c r="AK51" i="7" s="1"/>
  <c r="X51" i="7"/>
  <c r="Z51" i="7" s="1"/>
  <c r="W51" i="7"/>
  <c r="V51" i="7"/>
  <c r="T51" i="7"/>
  <c r="S51" i="7"/>
  <c r="O51" i="7"/>
  <c r="I51" i="7"/>
  <c r="AJ50" i="7"/>
  <c r="AK50" i="7" s="1"/>
  <c r="X50" i="7"/>
  <c r="Z50" i="7" s="1"/>
  <c r="W50" i="7"/>
  <c r="V50" i="7"/>
  <c r="T50" i="7"/>
  <c r="S50" i="7"/>
  <c r="O50" i="7"/>
  <c r="I50" i="7"/>
  <c r="AJ49" i="7"/>
  <c r="AK49" i="7" s="1"/>
  <c r="X49" i="7"/>
  <c r="W49" i="7"/>
  <c r="V49" i="7"/>
  <c r="T49" i="7"/>
  <c r="S49" i="7"/>
  <c r="O49" i="7"/>
  <c r="I49" i="7"/>
  <c r="AJ48" i="7"/>
  <c r="AK48" i="7" s="1"/>
  <c r="X48" i="7"/>
  <c r="Z48" i="7" s="1"/>
  <c r="W48" i="7"/>
  <c r="V48" i="7"/>
  <c r="T48" i="7"/>
  <c r="S48" i="7"/>
  <c r="O48" i="7"/>
  <c r="I48" i="7"/>
  <c r="AJ47" i="7"/>
  <c r="AK47" i="7" s="1"/>
  <c r="X47" i="7"/>
  <c r="Z47" i="7" s="1"/>
  <c r="AC47" i="7" s="1"/>
  <c r="W47" i="7"/>
  <c r="V47" i="7"/>
  <c r="T47" i="7"/>
  <c r="S47" i="7"/>
  <c r="O47" i="7"/>
  <c r="I47" i="7"/>
  <c r="AJ46" i="7"/>
  <c r="AK46" i="7" s="1"/>
  <c r="X46" i="7"/>
  <c r="Z46" i="7" s="1"/>
  <c r="W46" i="7"/>
  <c r="V46" i="7"/>
  <c r="T46" i="7"/>
  <c r="S46" i="7"/>
  <c r="O46" i="7"/>
  <c r="I46" i="7"/>
  <c r="AJ45" i="7"/>
  <c r="AK45" i="7" s="1"/>
  <c r="X45" i="7"/>
  <c r="Z45" i="7" s="1"/>
  <c r="W45" i="7"/>
  <c r="V45" i="7"/>
  <c r="T45" i="7"/>
  <c r="S45" i="7"/>
  <c r="O45" i="7"/>
  <c r="I45" i="7"/>
  <c r="AJ44" i="7"/>
  <c r="AK44" i="7" s="1"/>
  <c r="X44" i="7"/>
  <c r="Z44" i="7" s="1"/>
  <c r="W44" i="7"/>
  <c r="V44" i="7"/>
  <c r="T44" i="7"/>
  <c r="S44" i="7"/>
  <c r="O44" i="7"/>
  <c r="I44" i="7"/>
  <c r="AJ43" i="7"/>
  <c r="AK43" i="7" s="1"/>
  <c r="X43" i="7"/>
  <c r="Z43" i="7" s="1"/>
  <c r="W43" i="7"/>
  <c r="V43" i="7"/>
  <c r="T43" i="7"/>
  <c r="S43" i="7"/>
  <c r="O43" i="7"/>
  <c r="I43" i="7"/>
  <c r="AJ42" i="7"/>
  <c r="AK42" i="7" s="1"/>
  <c r="X42" i="7"/>
  <c r="Z42" i="7" s="1"/>
  <c r="W42" i="7"/>
  <c r="V42" i="7"/>
  <c r="T42" i="7"/>
  <c r="S42" i="7"/>
  <c r="O42" i="7"/>
  <c r="I42" i="7"/>
  <c r="AJ41" i="7"/>
  <c r="AK41" i="7" s="1"/>
  <c r="X41" i="7"/>
  <c r="Z41" i="7" s="1"/>
  <c r="W41" i="7"/>
  <c r="V41" i="7"/>
  <c r="T41" i="7"/>
  <c r="S41" i="7"/>
  <c r="O41" i="7"/>
  <c r="I41" i="7"/>
  <c r="AJ40" i="7"/>
  <c r="X40" i="7"/>
  <c r="W40" i="7"/>
  <c r="V40" i="7"/>
  <c r="T40" i="7"/>
  <c r="S40" i="7"/>
  <c r="O40" i="7"/>
  <c r="I40" i="7"/>
  <c r="AJ39" i="7"/>
  <c r="AK39" i="7" s="1"/>
  <c r="X39" i="7"/>
  <c r="Z39" i="7" s="1"/>
  <c r="W39" i="7"/>
  <c r="V39" i="7"/>
  <c r="T39" i="7"/>
  <c r="S39" i="7"/>
  <c r="O39" i="7"/>
  <c r="I39" i="7"/>
  <c r="AJ38" i="7"/>
  <c r="AK38" i="7" s="1"/>
  <c r="X38" i="7"/>
  <c r="Z38" i="7" s="1"/>
  <c r="W38" i="7"/>
  <c r="V38" i="7"/>
  <c r="T38" i="7"/>
  <c r="S38" i="7"/>
  <c r="O38" i="7"/>
  <c r="I38" i="7"/>
  <c r="AJ37" i="7"/>
  <c r="AK37" i="7" s="1"/>
  <c r="X37" i="7"/>
  <c r="Z37" i="7" s="1"/>
  <c r="W37" i="7"/>
  <c r="V37" i="7"/>
  <c r="T37" i="7"/>
  <c r="S37" i="7"/>
  <c r="O37" i="7"/>
  <c r="I37" i="7"/>
  <c r="AJ36" i="7"/>
  <c r="AK36" i="7" s="1"/>
  <c r="X36" i="7"/>
  <c r="Z36" i="7" s="1"/>
  <c r="W36" i="7"/>
  <c r="V36" i="7"/>
  <c r="T36" i="7"/>
  <c r="S36" i="7"/>
  <c r="O36" i="7"/>
  <c r="I36" i="7"/>
  <c r="AJ35" i="7"/>
  <c r="AK35" i="7" s="1"/>
  <c r="X35" i="7"/>
  <c r="Z35" i="7" s="1"/>
  <c r="W35" i="7"/>
  <c r="V35" i="7"/>
  <c r="T35" i="7"/>
  <c r="S35" i="7"/>
  <c r="O35" i="7"/>
  <c r="I35" i="7"/>
  <c r="AJ34" i="7"/>
  <c r="AK34" i="7" s="1"/>
  <c r="X34" i="7"/>
  <c r="Z34" i="7" s="1"/>
  <c r="AB34" i="7" s="1"/>
  <c r="W34" i="7"/>
  <c r="V34" i="7"/>
  <c r="T34" i="7"/>
  <c r="S34" i="7"/>
  <c r="O34" i="7"/>
  <c r="I34" i="7"/>
  <c r="AJ33" i="7"/>
  <c r="AK33" i="7" s="1"/>
  <c r="X33" i="7"/>
  <c r="Z33" i="7" s="1"/>
  <c r="W33" i="7"/>
  <c r="V33" i="7"/>
  <c r="T33" i="7"/>
  <c r="S33" i="7"/>
  <c r="O33" i="7"/>
  <c r="I33" i="7"/>
  <c r="AJ32" i="7"/>
  <c r="X32" i="7"/>
  <c r="Z32" i="7" s="1"/>
  <c r="AC32" i="7" s="1"/>
  <c r="W32" i="7"/>
  <c r="V32" i="7"/>
  <c r="T32" i="7"/>
  <c r="S32" i="7"/>
  <c r="O32" i="7"/>
  <c r="I32" i="7"/>
  <c r="AJ227" i="7"/>
  <c r="Y227" i="7"/>
  <c r="X227" i="7"/>
  <c r="Z227" i="7" s="1"/>
  <c r="W227" i="7"/>
  <c r="V227" i="7"/>
  <c r="T227" i="7"/>
  <c r="S227" i="7"/>
  <c r="O227" i="7"/>
  <c r="I227" i="7"/>
  <c r="AJ226" i="7"/>
  <c r="AK226" i="7" s="1"/>
  <c r="Y226" i="7"/>
  <c r="X226" i="7"/>
  <c r="Z226" i="7" s="1"/>
  <c r="W226" i="7"/>
  <c r="V226" i="7"/>
  <c r="T226" i="7"/>
  <c r="S226" i="7"/>
  <c r="O226" i="7"/>
  <c r="I226" i="7"/>
  <c r="AJ225" i="7"/>
  <c r="AK225" i="7" s="1"/>
  <c r="Y225" i="7"/>
  <c r="X225" i="7"/>
  <c r="Z225" i="7" s="1"/>
  <c r="W225" i="7"/>
  <c r="V225" i="7"/>
  <c r="T225" i="7"/>
  <c r="S225" i="7"/>
  <c r="O225" i="7"/>
  <c r="I225" i="7"/>
  <c r="AJ224" i="7"/>
  <c r="AK224" i="7" s="1"/>
  <c r="Y224" i="7"/>
  <c r="X224" i="7"/>
  <c r="Z224" i="7" s="1"/>
  <c r="W224" i="7"/>
  <c r="V224" i="7"/>
  <c r="T224" i="7"/>
  <c r="S224" i="7"/>
  <c r="O224" i="7"/>
  <c r="I224" i="7"/>
  <c r="AJ223" i="7"/>
  <c r="AK223" i="7" s="1"/>
  <c r="Y223" i="7"/>
  <c r="X223" i="7"/>
  <c r="Z223" i="7" s="1"/>
  <c r="W223" i="7"/>
  <c r="V223" i="7"/>
  <c r="T223" i="7"/>
  <c r="S223" i="7"/>
  <c r="O223" i="7"/>
  <c r="I223" i="7"/>
  <c r="AJ222" i="7"/>
  <c r="AK222" i="7" s="1"/>
  <c r="Y222" i="7"/>
  <c r="X222" i="7"/>
  <c r="Z222" i="7" s="1"/>
  <c r="W222" i="7"/>
  <c r="V222" i="7"/>
  <c r="T222" i="7"/>
  <c r="S222" i="7"/>
  <c r="O222" i="7"/>
  <c r="I222" i="7"/>
  <c r="AJ221" i="7"/>
  <c r="AK221" i="7" s="1"/>
  <c r="Y221" i="7"/>
  <c r="X221" i="7"/>
  <c r="Z221" i="7" s="1"/>
  <c r="W221" i="7"/>
  <c r="V221" i="7"/>
  <c r="T221" i="7"/>
  <c r="S221" i="7"/>
  <c r="O221" i="7"/>
  <c r="I221" i="7"/>
  <c r="AJ220" i="7"/>
  <c r="AK220" i="7" s="1"/>
  <c r="Y220" i="7"/>
  <c r="X220" i="7"/>
  <c r="Z220" i="7" s="1"/>
  <c r="W220" i="7"/>
  <c r="V220" i="7"/>
  <c r="T220" i="7"/>
  <c r="S220" i="7"/>
  <c r="O220" i="7"/>
  <c r="I220" i="7"/>
  <c r="AJ219" i="7"/>
  <c r="AK219" i="7" s="1"/>
  <c r="Y219" i="7"/>
  <c r="X219" i="7"/>
  <c r="Z219" i="7" s="1"/>
  <c r="W219" i="7"/>
  <c r="V219" i="7"/>
  <c r="T219" i="7"/>
  <c r="S219" i="7"/>
  <c r="O219" i="7"/>
  <c r="I219" i="7"/>
  <c r="AJ218" i="7"/>
  <c r="AK218" i="7" s="1"/>
  <c r="Y218" i="7"/>
  <c r="X218" i="7"/>
  <c r="Z218" i="7" s="1"/>
  <c r="W218" i="7"/>
  <c r="V218" i="7"/>
  <c r="T218" i="7"/>
  <c r="S218" i="7"/>
  <c r="O218" i="7"/>
  <c r="I218" i="7"/>
  <c r="AJ217" i="7"/>
  <c r="AK217" i="7" s="1"/>
  <c r="Y217" i="7"/>
  <c r="X217" i="7"/>
  <c r="Z217" i="7" s="1"/>
  <c r="W217" i="7"/>
  <c r="V217" i="7"/>
  <c r="T217" i="7"/>
  <c r="S217" i="7"/>
  <c r="O217" i="7"/>
  <c r="I217" i="7"/>
  <c r="AJ216" i="7"/>
  <c r="Y216" i="7"/>
  <c r="X216" i="7"/>
  <c r="Z216" i="7" s="1"/>
  <c r="W216" i="7"/>
  <c r="V216" i="7"/>
  <c r="T216" i="7"/>
  <c r="S216" i="7"/>
  <c r="O216" i="7"/>
  <c r="I216" i="7"/>
  <c r="AJ215" i="7"/>
  <c r="AK215" i="7" s="1"/>
  <c r="Y215" i="7"/>
  <c r="X215" i="7"/>
  <c r="Z215" i="7" s="1"/>
  <c r="W215" i="7"/>
  <c r="V215" i="7"/>
  <c r="T215" i="7"/>
  <c r="S215" i="7"/>
  <c r="O215" i="7"/>
  <c r="I215" i="7"/>
  <c r="AJ214" i="7"/>
  <c r="AK214" i="7" s="1"/>
  <c r="Y214" i="7"/>
  <c r="X214" i="7"/>
  <c r="Z214" i="7" s="1"/>
  <c r="W214" i="7"/>
  <c r="V214" i="7"/>
  <c r="T214" i="7"/>
  <c r="S214" i="7"/>
  <c r="O214" i="7"/>
  <c r="I214" i="7"/>
  <c r="AJ213" i="7"/>
  <c r="AK213" i="7" s="1"/>
  <c r="Y213" i="7"/>
  <c r="X213" i="7"/>
  <c r="W213" i="7"/>
  <c r="V213" i="7"/>
  <c r="T213" i="7"/>
  <c r="S213" i="7"/>
  <c r="O213" i="7"/>
  <c r="I213" i="7"/>
  <c r="AJ212" i="7"/>
  <c r="AK212" i="7" s="1"/>
  <c r="Y212" i="7"/>
  <c r="X212" i="7"/>
  <c r="Z212" i="7" s="1"/>
  <c r="W212" i="7"/>
  <c r="V212" i="7"/>
  <c r="T212" i="7"/>
  <c r="S212" i="7"/>
  <c r="O212" i="7"/>
  <c r="I212" i="7"/>
  <c r="AJ211" i="7"/>
  <c r="Y211" i="7"/>
  <c r="X211" i="7"/>
  <c r="W211" i="7"/>
  <c r="V211" i="7"/>
  <c r="T211" i="7"/>
  <c r="S211" i="7"/>
  <c r="O211" i="7"/>
  <c r="I211" i="7"/>
  <c r="AJ210" i="7"/>
  <c r="Y210" i="7"/>
  <c r="X210" i="7"/>
  <c r="Z210" i="7" s="1"/>
  <c r="W210" i="7"/>
  <c r="V210" i="7"/>
  <c r="T210" i="7"/>
  <c r="S210" i="7"/>
  <c r="O210" i="7"/>
  <c r="I210" i="7"/>
  <c r="AJ209" i="7"/>
  <c r="AK209" i="7" s="1"/>
  <c r="Y209" i="7"/>
  <c r="X209" i="7"/>
  <c r="Z209" i="7" s="1"/>
  <c r="W209" i="7"/>
  <c r="V209" i="7"/>
  <c r="T209" i="7"/>
  <c r="S209" i="7"/>
  <c r="O209" i="7"/>
  <c r="I209" i="7"/>
  <c r="AJ208" i="7"/>
  <c r="AK208" i="7" s="1"/>
  <c r="Y208" i="7"/>
  <c r="X208" i="7"/>
  <c r="W208" i="7"/>
  <c r="V208" i="7"/>
  <c r="T208" i="7"/>
  <c r="S208" i="7"/>
  <c r="O208" i="7"/>
  <c r="I208" i="7"/>
  <c r="AJ207" i="7"/>
  <c r="AK207" i="7" s="1"/>
  <c r="Y207" i="7"/>
  <c r="X207" i="7"/>
  <c r="Z207" i="7" s="1"/>
  <c r="W207" i="7"/>
  <c r="V207" i="7"/>
  <c r="T207" i="7"/>
  <c r="S207" i="7"/>
  <c r="O207" i="7"/>
  <c r="I207" i="7"/>
  <c r="AJ206" i="7"/>
  <c r="AK206" i="7" s="1"/>
  <c r="Y206" i="7"/>
  <c r="X206" i="7"/>
  <c r="Z206" i="7" s="1"/>
  <c r="W206" i="7"/>
  <c r="V206" i="7"/>
  <c r="T206" i="7"/>
  <c r="S206" i="7"/>
  <c r="O206" i="7"/>
  <c r="I206" i="7"/>
  <c r="AJ205" i="7"/>
  <c r="Y205" i="7"/>
  <c r="X205" i="7"/>
  <c r="Z205" i="7" s="1"/>
  <c r="W205" i="7"/>
  <c r="V205" i="7"/>
  <c r="T205" i="7"/>
  <c r="S205" i="7"/>
  <c r="O205" i="7"/>
  <c r="I205" i="7"/>
  <c r="AJ204" i="7"/>
  <c r="Y204" i="7"/>
  <c r="X204" i="7"/>
  <c r="Z204" i="7" s="1"/>
  <c r="W204" i="7"/>
  <c r="V204" i="7"/>
  <c r="T204" i="7"/>
  <c r="S204" i="7"/>
  <c r="O204" i="7"/>
  <c r="I204" i="7"/>
  <c r="AJ203" i="7"/>
  <c r="AK203" i="7" s="1"/>
  <c r="Y203" i="7"/>
  <c r="X203" i="7"/>
  <c r="W203" i="7"/>
  <c r="V203" i="7"/>
  <c r="T203" i="7"/>
  <c r="S203" i="7"/>
  <c r="O203" i="7"/>
  <c r="I203" i="7"/>
  <c r="AJ202" i="7"/>
  <c r="Y202" i="7"/>
  <c r="X202" i="7"/>
  <c r="W202" i="7"/>
  <c r="V202" i="7"/>
  <c r="T202" i="7"/>
  <c r="S202" i="7"/>
  <c r="O202" i="7"/>
  <c r="I202" i="7"/>
  <c r="AJ201" i="7"/>
  <c r="AK201" i="7" s="1"/>
  <c r="Y201" i="7"/>
  <c r="X201" i="7"/>
  <c r="Z201" i="7" s="1"/>
  <c r="W201" i="7"/>
  <c r="V201" i="7"/>
  <c r="T201" i="7"/>
  <c r="S201" i="7"/>
  <c r="O201" i="7"/>
  <c r="I201" i="7"/>
  <c r="AJ200" i="7"/>
  <c r="AK200" i="7" s="1"/>
  <c r="Y200" i="7"/>
  <c r="X200" i="7"/>
  <c r="Z200" i="7" s="1"/>
  <c r="W200" i="7"/>
  <c r="V200" i="7"/>
  <c r="T200" i="7"/>
  <c r="S200" i="7"/>
  <c r="O200" i="7"/>
  <c r="I200" i="7"/>
  <c r="AJ199" i="7"/>
  <c r="Y199" i="7"/>
  <c r="X199" i="7"/>
  <c r="Z199" i="7" s="1"/>
  <c r="W199" i="7"/>
  <c r="V199" i="7"/>
  <c r="T199" i="7"/>
  <c r="S199" i="7"/>
  <c r="O199" i="7"/>
  <c r="I199" i="7"/>
  <c r="AJ198" i="7"/>
  <c r="AK198" i="7" s="1"/>
  <c r="Y198" i="7"/>
  <c r="X198" i="7"/>
  <c r="Z198" i="7" s="1"/>
  <c r="W198" i="7"/>
  <c r="V198" i="7"/>
  <c r="T198" i="7"/>
  <c r="S198" i="7"/>
  <c r="O198" i="7"/>
  <c r="I198" i="7"/>
  <c r="AJ197" i="7"/>
  <c r="AK197" i="7" s="1"/>
  <c r="Y197" i="7"/>
  <c r="X197" i="7"/>
  <c r="W197" i="7"/>
  <c r="V197" i="7"/>
  <c r="T197" i="7"/>
  <c r="S197" i="7"/>
  <c r="O197" i="7"/>
  <c r="I197" i="7"/>
  <c r="AJ196" i="7"/>
  <c r="AK196" i="7" s="1"/>
  <c r="Y196" i="7"/>
  <c r="X196" i="7"/>
  <c r="Z196" i="7" s="1"/>
  <c r="W196" i="7"/>
  <c r="V196" i="7"/>
  <c r="T196" i="7"/>
  <c r="S196" i="7"/>
  <c r="O196" i="7"/>
  <c r="I196" i="7"/>
  <c r="AJ195" i="7"/>
  <c r="AK195" i="7" s="1"/>
  <c r="Y195" i="7"/>
  <c r="X195" i="7"/>
  <c r="Z195" i="7" s="1"/>
  <c r="W195" i="7"/>
  <c r="V195" i="7"/>
  <c r="T195" i="7"/>
  <c r="S195" i="7"/>
  <c r="O195" i="7"/>
  <c r="I195" i="7"/>
  <c r="AJ194" i="7"/>
  <c r="AK194" i="7" s="1"/>
  <c r="Y194" i="7"/>
  <c r="X194" i="7"/>
  <c r="Z194" i="7" s="1"/>
  <c r="W194" i="7"/>
  <c r="V194" i="7"/>
  <c r="T194" i="7"/>
  <c r="S194" i="7"/>
  <c r="O194" i="7"/>
  <c r="I194" i="7"/>
  <c r="AJ193" i="7"/>
  <c r="Y193" i="7"/>
  <c r="X193" i="7"/>
  <c r="W193" i="7"/>
  <c r="V193" i="7"/>
  <c r="T193" i="7"/>
  <c r="S193" i="7"/>
  <c r="O193" i="7"/>
  <c r="I193" i="7"/>
  <c r="AJ192" i="7"/>
  <c r="AK192" i="7" s="1"/>
  <c r="Y192" i="7"/>
  <c r="X192" i="7"/>
  <c r="Z192" i="7" s="1"/>
  <c r="W192" i="7"/>
  <c r="V192" i="7"/>
  <c r="T192" i="7"/>
  <c r="S192" i="7"/>
  <c r="O192" i="7"/>
  <c r="I192" i="7"/>
  <c r="AJ191" i="7"/>
  <c r="AK191" i="7" s="1"/>
  <c r="Y191" i="7"/>
  <c r="X191" i="7"/>
  <c r="Z191" i="7" s="1"/>
  <c r="W191" i="7"/>
  <c r="V191" i="7"/>
  <c r="T191" i="7"/>
  <c r="S191" i="7"/>
  <c r="O191" i="7"/>
  <c r="I191" i="7"/>
  <c r="AJ190" i="7"/>
  <c r="AK190" i="7" s="1"/>
  <c r="Y190" i="7"/>
  <c r="X190" i="7"/>
  <c r="W190" i="7"/>
  <c r="V190" i="7"/>
  <c r="T190" i="7"/>
  <c r="S190" i="7"/>
  <c r="O190" i="7"/>
  <c r="I190" i="7"/>
  <c r="AJ189" i="7"/>
  <c r="AK189" i="7" s="1"/>
  <c r="Y189" i="7"/>
  <c r="X189" i="7"/>
  <c r="Z189" i="7" s="1"/>
  <c r="W189" i="7"/>
  <c r="V189" i="7"/>
  <c r="T189" i="7"/>
  <c r="S189" i="7"/>
  <c r="O189" i="7"/>
  <c r="I189" i="7"/>
  <c r="AJ188" i="7"/>
  <c r="AK188" i="7" s="1"/>
  <c r="Y188" i="7"/>
  <c r="X188" i="7"/>
  <c r="Z188" i="7" s="1"/>
  <c r="W188" i="7"/>
  <c r="V188" i="7"/>
  <c r="T188" i="7"/>
  <c r="S188" i="7"/>
  <c r="O188" i="7"/>
  <c r="I188" i="7"/>
  <c r="AJ187" i="7"/>
  <c r="AK187" i="7" s="1"/>
  <c r="Y187" i="7"/>
  <c r="X187" i="7"/>
  <c r="Z187" i="7" s="1"/>
  <c r="W187" i="7"/>
  <c r="V187" i="7"/>
  <c r="T187" i="7"/>
  <c r="S187" i="7"/>
  <c r="O187" i="7"/>
  <c r="I187" i="7"/>
  <c r="AJ186" i="7"/>
  <c r="AK186" i="7" s="1"/>
  <c r="Y186" i="7"/>
  <c r="X186" i="7"/>
  <c r="Z186" i="7" s="1"/>
  <c r="W186" i="7"/>
  <c r="V186" i="7"/>
  <c r="T186" i="7"/>
  <c r="S186" i="7"/>
  <c r="O186" i="7"/>
  <c r="I186" i="7"/>
  <c r="AJ185" i="7"/>
  <c r="AK185" i="7" s="1"/>
  <c r="Y185" i="7"/>
  <c r="X185" i="7"/>
  <c r="Z185" i="7" s="1"/>
  <c r="W185" i="7"/>
  <c r="V185" i="7"/>
  <c r="T185" i="7"/>
  <c r="S185" i="7"/>
  <c r="O185" i="7"/>
  <c r="I185" i="7"/>
  <c r="AJ184" i="7"/>
  <c r="Y184" i="7"/>
  <c r="X184" i="7"/>
  <c r="Z184" i="7" s="1"/>
  <c r="W184" i="7"/>
  <c r="V184" i="7"/>
  <c r="T184" i="7"/>
  <c r="S184" i="7"/>
  <c r="O184" i="7"/>
  <c r="I184" i="7"/>
  <c r="AJ183" i="7"/>
  <c r="AK183" i="7" s="1"/>
  <c r="Y183" i="7"/>
  <c r="X183" i="7"/>
  <c r="Z183" i="7" s="1"/>
  <c r="W183" i="7"/>
  <c r="V183" i="7"/>
  <c r="T183" i="7"/>
  <c r="S183" i="7"/>
  <c r="O183" i="7"/>
  <c r="I183" i="7"/>
  <c r="AJ182" i="7"/>
  <c r="AK182" i="7" s="1"/>
  <c r="Y182" i="7"/>
  <c r="X182" i="7"/>
  <c r="Z182" i="7" s="1"/>
  <c r="W182" i="7"/>
  <c r="V182" i="7"/>
  <c r="T182" i="7"/>
  <c r="S182" i="7"/>
  <c r="O182" i="7"/>
  <c r="I182" i="7"/>
  <c r="AJ181" i="7"/>
  <c r="AK181" i="7" s="1"/>
  <c r="Y181" i="7"/>
  <c r="X181" i="7"/>
  <c r="W181" i="7"/>
  <c r="V181" i="7"/>
  <c r="T181" i="7"/>
  <c r="S181" i="7"/>
  <c r="O181" i="7"/>
  <c r="I181" i="7"/>
  <c r="AJ180" i="7"/>
  <c r="AK180" i="7" s="1"/>
  <c r="Y180" i="7"/>
  <c r="X180" i="7"/>
  <c r="Z180" i="7" s="1"/>
  <c r="W180" i="7"/>
  <c r="V180" i="7"/>
  <c r="T180" i="7"/>
  <c r="S180" i="7"/>
  <c r="O180" i="7"/>
  <c r="I180" i="7"/>
  <c r="AJ179" i="7"/>
  <c r="AK179" i="7" s="1"/>
  <c r="Y179" i="7"/>
  <c r="X179" i="7"/>
  <c r="Z179" i="7" s="1"/>
  <c r="W179" i="7"/>
  <c r="V179" i="7"/>
  <c r="T179" i="7"/>
  <c r="S179" i="7"/>
  <c r="O179" i="7"/>
  <c r="I179" i="7"/>
  <c r="AJ178" i="7"/>
  <c r="AK178" i="7" s="1"/>
  <c r="Y178" i="7"/>
  <c r="X178" i="7"/>
  <c r="Z178" i="7" s="1"/>
  <c r="W178" i="7"/>
  <c r="V178" i="7"/>
  <c r="T178" i="7"/>
  <c r="S178" i="7"/>
  <c r="O178" i="7"/>
  <c r="I178" i="7"/>
  <c r="AJ177" i="7"/>
  <c r="AK177" i="7" s="1"/>
  <c r="Y177" i="7"/>
  <c r="X177" i="7"/>
  <c r="Z177" i="7" s="1"/>
  <c r="W177" i="7"/>
  <c r="V177" i="7"/>
  <c r="T177" i="7"/>
  <c r="S177" i="7"/>
  <c r="O177" i="7"/>
  <c r="I177" i="7"/>
  <c r="AJ176" i="7"/>
  <c r="AK176" i="7" s="1"/>
  <c r="Y176" i="7"/>
  <c r="X176" i="7"/>
  <c r="W176" i="7"/>
  <c r="V176" i="7"/>
  <c r="T176" i="7"/>
  <c r="S176" i="7"/>
  <c r="O176" i="7"/>
  <c r="I176" i="7"/>
  <c r="AJ175" i="7"/>
  <c r="AK175" i="7" s="1"/>
  <c r="Y175" i="7"/>
  <c r="X175" i="7"/>
  <c r="Z175" i="7" s="1"/>
  <c r="W175" i="7"/>
  <c r="V175" i="7"/>
  <c r="T175" i="7"/>
  <c r="S175" i="7"/>
  <c r="O175" i="7"/>
  <c r="I175" i="7"/>
  <c r="AJ174" i="7"/>
  <c r="AK174" i="7" s="1"/>
  <c r="Y174" i="7"/>
  <c r="X174" i="7"/>
  <c r="Z174" i="7" s="1"/>
  <c r="W174" i="7"/>
  <c r="V174" i="7"/>
  <c r="T174" i="7"/>
  <c r="S174" i="7"/>
  <c r="O174" i="7"/>
  <c r="I174" i="7"/>
  <c r="AJ173" i="7"/>
  <c r="AK173" i="7" s="1"/>
  <c r="Y173" i="7"/>
  <c r="X173" i="7"/>
  <c r="Z173" i="7" s="1"/>
  <c r="W173" i="7"/>
  <c r="V173" i="7"/>
  <c r="T173" i="7"/>
  <c r="S173" i="7"/>
  <c r="O173" i="7"/>
  <c r="I173" i="7"/>
  <c r="AJ172" i="7"/>
  <c r="AK172" i="7" s="1"/>
  <c r="Y172" i="7"/>
  <c r="X172" i="7"/>
  <c r="Z172" i="7" s="1"/>
  <c r="W172" i="7"/>
  <c r="V172" i="7"/>
  <c r="T172" i="7"/>
  <c r="S172" i="7"/>
  <c r="O172" i="7"/>
  <c r="I172" i="7"/>
  <c r="AJ171" i="7"/>
  <c r="AK171" i="7" s="1"/>
  <c r="Y171" i="7"/>
  <c r="X171" i="7"/>
  <c r="Z171" i="7" s="1"/>
  <c r="W171" i="7"/>
  <c r="V171" i="7"/>
  <c r="T171" i="7"/>
  <c r="S171" i="7"/>
  <c r="O171" i="7"/>
  <c r="I171" i="7"/>
  <c r="AJ170" i="7"/>
  <c r="AK170" i="7" s="1"/>
  <c r="Y170" i="7"/>
  <c r="X170" i="7"/>
  <c r="W170" i="7"/>
  <c r="V170" i="7"/>
  <c r="T170" i="7"/>
  <c r="S170" i="7"/>
  <c r="O170" i="7"/>
  <c r="I170" i="7"/>
  <c r="AJ169" i="7"/>
  <c r="AK169" i="7" s="1"/>
  <c r="Y169" i="7"/>
  <c r="X169" i="7"/>
  <c r="Z169" i="7" s="1"/>
  <c r="W169" i="7"/>
  <c r="V169" i="7"/>
  <c r="T169" i="7"/>
  <c r="S169" i="7"/>
  <c r="O169" i="7"/>
  <c r="I169" i="7"/>
  <c r="AJ168" i="7"/>
  <c r="AK168" i="7" s="1"/>
  <c r="Y168" i="7"/>
  <c r="X168" i="7"/>
  <c r="Z168" i="7" s="1"/>
  <c r="W168" i="7"/>
  <c r="V168" i="7"/>
  <c r="T168" i="7"/>
  <c r="S168" i="7"/>
  <c r="O168" i="7"/>
  <c r="I168" i="7"/>
  <c r="AJ167" i="7"/>
  <c r="AK167" i="7" s="1"/>
  <c r="Y167" i="7"/>
  <c r="X167" i="7"/>
  <c r="W167" i="7"/>
  <c r="V167" i="7"/>
  <c r="T167" i="7"/>
  <c r="S167" i="7"/>
  <c r="O167" i="7"/>
  <c r="I167" i="7"/>
  <c r="AJ166" i="7"/>
  <c r="AK166" i="7" s="1"/>
  <c r="Y166" i="7"/>
  <c r="X166" i="7"/>
  <c r="Z166" i="7" s="1"/>
  <c r="W166" i="7"/>
  <c r="V166" i="7"/>
  <c r="T166" i="7"/>
  <c r="S166" i="7"/>
  <c r="O166" i="7"/>
  <c r="I166" i="7"/>
  <c r="AJ165" i="7"/>
  <c r="AK165" i="7" s="1"/>
  <c r="Y165" i="7"/>
  <c r="X165" i="7"/>
  <c r="Z165" i="7" s="1"/>
  <c r="W165" i="7"/>
  <c r="V165" i="7"/>
  <c r="T165" i="7"/>
  <c r="S165" i="7"/>
  <c r="O165" i="7"/>
  <c r="I165" i="7"/>
  <c r="AJ164" i="7"/>
  <c r="AK164" i="7" s="1"/>
  <c r="Y164" i="7"/>
  <c r="X164" i="7"/>
  <c r="Z164" i="7" s="1"/>
  <c r="W164" i="7"/>
  <c r="V164" i="7"/>
  <c r="T164" i="7"/>
  <c r="S164" i="7"/>
  <c r="O164" i="7"/>
  <c r="I164" i="7"/>
  <c r="AJ163" i="7"/>
  <c r="AK163" i="7" s="1"/>
  <c r="Y163" i="7"/>
  <c r="X163" i="7"/>
  <c r="Z163" i="7" s="1"/>
  <c r="W163" i="7"/>
  <c r="V163" i="7"/>
  <c r="T163" i="7"/>
  <c r="S163" i="7"/>
  <c r="O163" i="7"/>
  <c r="I163" i="7"/>
  <c r="AJ162" i="7"/>
  <c r="AK162" i="7" s="1"/>
  <c r="Y162" i="7"/>
  <c r="X162" i="7"/>
  <c r="Z162" i="7" s="1"/>
  <c r="W162" i="7"/>
  <c r="V162" i="7"/>
  <c r="T162" i="7"/>
  <c r="S162" i="7"/>
  <c r="O162" i="7"/>
  <c r="I162" i="7"/>
  <c r="AJ161" i="7"/>
  <c r="AK161" i="7" s="1"/>
  <c r="Y161" i="7"/>
  <c r="X161" i="7"/>
  <c r="W161" i="7"/>
  <c r="V161" i="7"/>
  <c r="T161" i="7"/>
  <c r="S161" i="7"/>
  <c r="O161" i="7"/>
  <c r="I161" i="7"/>
  <c r="AJ160" i="7"/>
  <c r="AK160" i="7" s="1"/>
  <c r="Y160" i="7"/>
  <c r="X160" i="7"/>
  <c r="W160" i="7"/>
  <c r="V160" i="7"/>
  <c r="T160" i="7"/>
  <c r="S160" i="7"/>
  <c r="O160" i="7"/>
  <c r="I160" i="7"/>
  <c r="AJ159" i="7"/>
  <c r="AK159" i="7" s="1"/>
  <c r="Y159" i="7"/>
  <c r="X159" i="7"/>
  <c r="Z159" i="7" s="1"/>
  <c r="W159" i="7"/>
  <c r="V159" i="7"/>
  <c r="T159" i="7"/>
  <c r="S159" i="7"/>
  <c r="O159" i="7"/>
  <c r="I159" i="7"/>
  <c r="AJ158" i="7"/>
  <c r="AK158" i="7" s="1"/>
  <c r="Y158" i="7"/>
  <c r="X158" i="7"/>
  <c r="Z158" i="7" s="1"/>
  <c r="W158" i="7"/>
  <c r="V158" i="7"/>
  <c r="T158" i="7"/>
  <c r="S158" i="7"/>
  <c r="O158" i="7"/>
  <c r="I158" i="7"/>
  <c r="AJ157" i="7"/>
  <c r="AK157" i="7" s="1"/>
  <c r="Y157" i="7"/>
  <c r="X157" i="7"/>
  <c r="Z157" i="7" s="1"/>
  <c r="W157" i="7"/>
  <c r="V157" i="7"/>
  <c r="T157" i="7"/>
  <c r="S157" i="7"/>
  <c r="O157" i="7"/>
  <c r="I157" i="7"/>
  <c r="AJ156" i="7"/>
  <c r="AK156" i="7" s="1"/>
  <c r="Y156" i="7"/>
  <c r="X156" i="7"/>
  <c r="Z156" i="7" s="1"/>
  <c r="W156" i="7"/>
  <c r="V156" i="7"/>
  <c r="T156" i="7"/>
  <c r="S156" i="7"/>
  <c r="O156" i="7"/>
  <c r="I156" i="7"/>
  <c r="AJ155" i="7"/>
  <c r="AK155" i="7" s="1"/>
  <c r="Y155" i="7"/>
  <c r="X155" i="7"/>
  <c r="Z155" i="7" s="1"/>
  <c r="W155" i="7"/>
  <c r="V155" i="7"/>
  <c r="T155" i="7"/>
  <c r="S155" i="7"/>
  <c r="O155" i="7"/>
  <c r="I155" i="7"/>
  <c r="AJ154" i="7"/>
  <c r="AK154" i="7" s="1"/>
  <c r="Y154" i="7"/>
  <c r="X154" i="7"/>
  <c r="Z154" i="7" s="1"/>
  <c r="W154" i="7"/>
  <c r="V154" i="7"/>
  <c r="T154" i="7"/>
  <c r="S154" i="7"/>
  <c r="O154" i="7"/>
  <c r="I154" i="7"/>
  <c r="AJ153" i="7"/>
  <c r="AK153" i="7" s="1"/>
  <c r="Y153" i="7"/>
  <c r="X153" i="7"/>
  <c r="Z153" i="7" s="1"/>
  <c r="W153" i="7"/>
  <c r="V153" i="7"/>
  <c r="T153" i="7"/>
  <c r="S153" i="7"/>
  <c r="O153" i="7"/>
  <c r="I153" i="7"/>
  <c r="AJ152" i="7"/>
  <c r="AK152" i="7" s="1"/>
  <c r="Y152" i="7"/>
  <c r="X152" i="7"/>
  <c r="W152" i="7"/>
  <c r="V152" i="7"/>
  <c r="T152" i="7"/>
  <c r="S152" i="7"/>
  <c r="O152" i="7"/>
  <c r="I152" i="7"/>
  <c r="AJ151" i="7"/>
  <c r="AK151" i="7" s="1"/>
  <c r="Y151" i="7"/>
  <c r="X151" i="7"/>
  <c r="W151" i="7"/>
  <c r="V151" i="7"/>
  <c r="T151" i="7"/>
  <c r="S151" i="7"/>
  <c r="O151" i="7"/>
  <c r="I151" i="7"/>
  <c r="AJ150" i="7"/>
  <c r="AK150" i="7" s="1"/>
  <c r="Y150" i="7"/>
  <c r="X150" i="7"/>
  <c r="Z150" i="7" s="1"/>
  <c r="W150" i="7"/>
  <c r="V150" i="7"/>
  <c r="T150" i="7"/>
  <c r="S150" i="7"/>
  <c r="O150" i="7"/>
  <c r="I150" i="7"/>
  <c r="AJ149" i="7"/>
  <c r="AK149" i="7" s="1"/>
  <c r="Y149" i="7"/>
  <c r="X149" i="7"/>
  <c r="W149" i="7"/>
  <c r="V149" i="7"/>
  <c r="T149" i="7"/>
  <c r="S149" i="7"/>
  <c r="O149" i="7"/>
  <c r="I149" i="7"/>
  <c r="AJ148" i="7"/>
  <c r="AK148" i="7" s="1"/>
  <c r="Y148" i="7"/>
  <c r="X148" i="7"/>
  <c r="Z148" i="7" s="1"/>
  <c r="W148" i="7"/>
  <c r="V148" i="7"/>
  <c r="T148" i="7"/>
  <c r="S148" i="7"/>
  <c r="O148" i="7"/>
  <c r="I148" i="7"/>
  <c r="AJ147" i="7"/>
  <c r="AK147" i="7" s="1"/>
  <c r="Y147" i="7"/>
  <c r="X147" i="7"/>
  <c r="Z147" i="7" s="1"/>
  <c r="W147" i="7"/>
  <c r="V147" i="7"/>
  <c r="T147" i="7"/>
  <c r="S147" i="7"/>
  <c r="O147" i="7"/>
  <c r="I147" i="7"/>
  <c r="AJ146" i="7"/>
  <c r="AK146" i="7" s="1"/>
  <c r="Y146" i="7"/>
  <c r="X146" i="7"/>
  <c r="W146" i="7"/>
  <c r="V146" i="7"/>
  <c r="T146" i="7"/>
  <c r="S146" i="7"/>
  <c r="O146" i="7"/>
  <c r="I146" i="7"/>
  <c r="AJ145" i="7"/>
  <c r="AK145" i="7" s="1"/>
  <c r="Y145" i="7"/>
  <c r="X145" i="7"/>
  <c r="W145" i="7"/>
  <c r="V145" i="7"/>
  <c r="T145" i="7"/>
  <c r="S145" i="7"/>
  <c r="O145" i="7"/>
  <c r="I145" i="7"/>
  <c r="AJ144" i="7"/>
  <c r="AK144" i="7" s="1"/>
  <c r="Y144" i="7"/>
  <c r="X144" i="7"/>
  <c r="Z144" i="7" s="1"/>
  <c r="W144" i="7"/>
  <c r="V144" i="7"/>
  <c r="T144" i="7"/>
  <c r="S144" i="7"/>
  <c r="O144" i="7"/>
  <c r="I144" i="7"/>
  <c r="AJ143" i="7"/>
  <c r="AK143" i="7" s="1"/>
  <c r="Y143" i="7"/>
  <c r="X143" i="7"/>
  <c r="W143" i="7"/>
  <c r="V143" i="7"/>
  <c r="T143" i="7"/>
  <c r="S143" i="7"/>
  <c r="O143" i="7"/>
  <c r="I143" i="7"/>
  <c r="AJ142" i="7"/>
  <c r="AK142" i="7" s="1"/>
  <c r="Y142" i="7"/>
  <c r="X142" i="7"/>
  <c r="Z142" i="7" s="1"/>
  <c r="W142" i="7"/>
  <c r="V142" i="7"/>
  <c r="T142" i="7"/>
  <c r="S142" i="7"/>
  <c r="O142" i="7"/>
  <c r="I142" i="7"/>
  <c r="AJ141" i="7"/>
  <c r="Y141" i="7"/>
  <c r="X141" i="7"/>
  <c r="Z141" i="7" s="1"/>
  <c r="W141" i="7"/>
  <c r="V141" i="7"/>
  <c r="T141" i="7"/>
  <c r="S141" i="7"/>
  <c r="O141" i="7"/>
  <c r="I141" i="7"/>
  <c r="AJ140" i="7"/>
  <c r="AK140" i="7" s="1"/>
  <c r="Y140" i="7"/>
  <c r="X140" i="7"/>
  <c r="Z140" i="7" s="1"/>
  <c r="W140" i="7"/>
  <c r="V140" i="7"/>
  <c r="T140" i="7"/>
  <c r="S140" i="7"/>
  <c r="O140" i="7"/>
  <c r="I140" i="7"/>
  <c r="AJ139" i="7"/>
  <c r="AK139" i="7" s="1"/>
  <c r="Y139" i="7"/>
  <c r="X139" i="7"/>
  <c r="Z139" i="7" s="1"/>
  <c r="W139" i="7"/>
  <c r="V139" i="7"/>
  <c r="T139" i="7"/>
  <c r="S139" i="7"/>
  <c r="O139" i="7"/>
  <c r="I139" i="7"/>
  <c r="AJ138" i="7"/>
  <c r="AK138" i="7" s="1"/>
  <c r="Y138" i="7"/>
  <c r="X138" i="7"/>
  <c r="Z138" i="7" s="1"/>
  <c r="W138" i="7"/>
  <c r="V138" i="7"/>
  <c r="T138" i="7"/>
  <c r="S138" i="7"/>
  <c r="O138" i="7"/>
  <c r="I138" i="7"/>
  <c r="AJ137" i="7"/>
  <c r="Y137" i="7"/>
  <c r="X137" i="7"/>
  <c r="Z137" i="7" s="1"/>
  <c r="W137" i="7"/>
  <c r="V137" i="7"/>
  <c r="T137" i="7"/>
  <c r="S137" i="7"/>
  <c r="O137" i="7"/>
  <c r="I137" i="7"/>
  <c r="AJ136" i="7"/>
  <c r="AK136" i="7" s="1"/>
  <c r="Y136" i="7"/>
  <c r="X136" i="7"/>
  <c r="Z136" i="7" s="1"/>
  <c r="W136" i="7"/>
  <c r="V136" i="7"/>
  <c r="T136" i="7"/>
  <c r="S136" i="7"/>
  <c r="O136" i="7"/>
  <c r="I136" i="7"/>
  <c r="AJ135" i="7"/>
  <c r="AK135" i="7" s="1"/>
  <c r="Y135" i="7"/>
  <c r="X135" i="7"/>
  <c r="Z135" i="7" s="1"/>
  <c r="W135" i="7"/>
  <c r="V135" i="7"/>
  <c r="T135" i="7"/>
  <c r="S135" i="7"/>
  <c r="O135" i="7"/>
  <c r="I135" i="7"/>
  <c r="AJ134" i="7"/>
  <c r="AK134" i="7" s="1"/>
  <c r="Y134" i="7"/>
  <c r="X134" i="7"/>
  <c r="Z134" i="7" s="1"/>
  <c r="W134" i="7"/>
  <c r="V134" i="7"/>
  <c r="T134" i="7"/>
  <c r="S134" i="7"/>
  <c r="O134" i="7"/>
  <c r="I134" i="7"/>
  <c r="AJ133" i="7"/>
  <c r="AK133" i="7" s="1"/>
  <c r="Y133" i="7"/>
  <c r="X133" i="7"/>
  <c r="Z133" i="7" s="1"/>
  <c r="W133" i="7"/>
  <c r="V133" i="7"/>
  <c r="T133" i="7"/>
  <c r="S133" i="7"/>
  <c r="O133" i="7"/>
  <c r="I133" i="7"/>
  <c r="AJ132" i="7"/>
  <c r="AK132" i="7" s="1"/>
  <c r="Y132" i="7"/>
  <c r="X132" i="7"/>
  <c r="W132" i="7"/>
  <c r="V132" i="7"/>
  <c r="T132" i="7"/>
  <c r="S132" i="7"/>
  <c r="O132" i="7"/>
  <c r="I132" i="7"/>
  <c r="AJ131" i="7"/>
  <c r="AK131" i="7" s="1"/>
  <c r="Y131" i="7"/>
  <c r="X131" i="7"/>
  <c r="Z131" i="7" s="1"/>
  <c r="W131" i="7"/>
  <c r="V131" i="7"/>
  <c r="T131" i="7"/>
  <c r="S131" i="7"/>
  <c r="O131" i="7"/>
  <c r="I131" i="7"/>
  <c r="AJ130" i="7"/>
  <c r="AK130" i="7" s="1"/>
  <c r="Y130" i="7"/>
  <c r="X130" i="7"/>
  <c r="W130" i="7"/>
  <c r="V130" i="7"/>
  <c r="T130" i="7"/>
  <c r="S130" i="7"/>
  <c r="O130" i="7"/>
  <c r="I130" i="7"/>
  <c r="AJ27" i="7"/>
  <c r="AJ228" i="7"/>
  <c r="AJ229" i="7"/>
  <c r="AJ230" i="7"/>
  <c r="AK230" i="7" s="1"/>
  <c r="AJ231" i="7"/>
  <c r="AJ232" i="7"/>
  <c r="AJ233" i="7"/>
  <c r="O27" i="7"/>
  <c r="AK27" i="7"/>
  <c r="X27" i="7"/>
  <c r="Z27" i="7" s="1"/>
  <c r="W27" i="7"/>
  <c r="V27" i="7"/>
  <c r="T27" i="7"/>
  <c r="S27" i="7"/>
  <c r="I27" i="7"/>
  <c r="AJ326" i="7"/>
  <c r="AK326" i="7" s="1"/>
  <c r="Y326" i="7"/>
  <c r="X326" i="7"/>
  <c r="Z326" i="7" s="1"/>
  <c r="W326" i="7"/>
  <c r="V326" i="7"/>
  <c r="T326" i="7"/>
  <c r="S326" i="7"/>
  <c r="O326" i="7"/>
  <c r="I326" i="7"/>
  <c r="AJ325" i="7"/>
  <c r="AK325" i="7" s="1"/>
  <c r="Y325" i="7"/>
  <c r="X325" i="7"/>
  <c r="Z325" i="7" s="1"/>
  <c r="W325" i="7"/>
  <c r="V325" i="7"/>
  <c r="T325" i="7"/>
  <c r="S325" i="7"/>
  <c r="O325" i="7"/>
  <c r="I325" i="7"/>
  <c r="AJ324" i="7"/>
  <c r="AK324" i="7" s="1"/>
  <c r="Y324" i="7"/>
  <c r="X324" i="7"/>
  <c r="Z324" i="7" s="1"/>
  <c r="W324" i="7"/>
  <c r="V324" i="7"/>
  <c r="T324" i="7"/>
  <c r="S324" i="7"/>
  <c r="O324" i="7"/>
  <c r="I324" i="7"/>
  <c r="AJ323" i="7"/>
  <c r="AK323" i="7" s="1"/>
  <c r="Y323" i="7"/>
  <c r="X323" i="7"/>
  <c r="Z323" i="7" s="1"/>
  <c r="W323" i="7"/>
  <c r="V323" i="7"/>
  <c r="T323" i="7"/>
  <c r="S323" i="7"/>
  <c r="O323" i="7"/>
  <c r="I323" i="7"/>
  <c r="AJ322" i="7"/>
  <c r="AK322" i="7" s="1"/>
  <c r="Y322" i="7"/>
  <c r="X322" i="7"/>
  <c r="Z322" i="7" s="1"/>
  <c r="W322" i="7"/>
  <c r="V322" i="7"/>
  <c r="T322" i="7"/>
  <c r="S322" i="7"/>
  <c r="O322" i="7"/>
  <c r="I322" i="7"/>
  <c r="AJ321" i="7"/>
  <c r="AK321" i="7" s="1"/>
  <c r="Y321" i="7"/>
  <c r="X321" i="7"/>
  <c r="Z321" i="7" s="1"/>
  <c r="W321" i="7"/>
  <c r="V321" i="7"/>
  <c r="T321" i="7"/>
  <c r="S321" i="7"/>
  <c r="O321" i="7"/>
  <c r="I321" i="7"/>
  <c r="AJ320" i="7"/>
  <c r="Y320" i="7"/>
  <c r="X320" i="7"/>
  <c r="Z320" i="7" s="1"/>
  <c r="W320" i="7"/>
  <c r="V320" i="7"/>
  <c r="T320" i="7"/>
  <c r="S320" i="7"/>
  <c r="O320" i="7"/>
  <c r="I320" i="7"/>
  <c r="AJ319" i="7"/>
  <c r="AK319" i="7" s="1"/>
  <c r="Y319" i="7"/>
  <c r="X319" i="7"/>
  <c r="Z319" i="7" s="1"/>
  <c r="W319" i="7"/>
  <c r="V319" i="7"/>
  <c r="T319" i="7"/>
  <c r="S319" i="7"/>
  <c r="O319" i="7"/>
  <c r="I319" i="7"/>
  <c r="AJ318" i="7"/>
  <c r="AK318" i="7" s="1"/>
  <c r="Y318" i="7"/>
  <c r="X318" i="7"/>
  <c r="Z318" i="7" s="1"/>
  <c r="W318" i="7"/>
  <c r="V318" i="7"/>
  <c r="T318" i="7"/>
  <c r="S318" i="7"/>
  <c r="O318" i="7"/>
  <c r="I318" i="7"/>
  <c r="AJ317" i="7"/>
  <c r="AK317" i="7" s="1"/>
  <c r="Y317" i="7"/>
  <c r="X317" i="7"/>
  <c r="Z317" i="7" s="1"/>
  <c r="W317" i="7"/>
  <c r="V317" i="7"/>
  <c r="T317" i="7"/>
  <c r="S317" i="7"/>
  <c r="O317" i="7"/>
  <c r="I317" i="7"/>
  <c r="AJ316" i="7"/>
  <c r="AK316" i="7" s="1"/>
  <c r="Y316" i="7"/>
  <c r="X316" i="7"/>
  <c r="Z316" i="7" s="1"/>
  <c r="W316" i="7"/>
  <c r="V316" i="7"/>
  <c r="T316" i="7"/>
  <c r="S316" i="7"/>
  <c r="O316" i="7"/>
  <c r="I316" i="7"/>
  <c r="AJ315" i="7"/>
  <c r="AK315" i="7" s="1"/>
  <c r="Y315" i="7"/>
  <c r="X315" i="7"/>
  <c r="Z315" i="7" s="1"/>
  <c r="W315" i="7"/>
  <c r="V315" i="7"/>
  <c r="T315" i="7"/>
  <c r="S315" i="7"/>
  <c r="O315" i="7"/>
  <c r="I315" i="7"/>
  <c r="AJ314" i="7"/>
  <c r="Y314" i="7"/>
  <c r="X314" i="7"/>
  <c r="Z314" i="7" s="1"/>
  <c r="W314" i="7"/>
  <c r="V314" i="7"/>
  <c r="T314" i="7"/>
  <c r="S314" i="7"/>
  <c r="O314" i="7"/>
  <c r="I314" i="7"/>
  <c r="AJ313" i="7"/>
  <c r="AK313" i="7" s="1"/>
  <c r="Y313" i="7"/>
  <c r="X313" i="7"/>
  <c r="Z313" i="7" s="1"/>
  <c r="W313" i="7"/>
  <c r="V313" i="7"/>
  <c r="T313" i="7"/>
  <c r="S313" i="7"/>
  <c r="O313" i="7"/>
  <c r="I313" i="7"/>
  <c r="AJ312" i="7"/>
  <c r="Y312" i="7"/>
  <c r="X312" i="7"/>
  <c r="Z312" i="7" s="1"/>
  <c r="W312" i="7"/>
  <c r="V312" i="7"/>
  <c r="T312" i="7"/>
  <c r="S312" i="7"/>
  <c r="O312" i="7"/>
  <c r="I312" i="7"/>
  <c r="AJ311" i="7"/>
  <c r="AK311" i="7" s="1"/>
  <c r="Y311" i="7"/>
  <c r="X311" i="7"/>
  <c r="Z311" i="7" s="1"/>
  <c r="W311" i="7"/>
  <c r="V311" i="7"/>
  <c r="T311" i="7"/>
  <c r="S311" i="7"/>
  <c r="O311" i="7"/>
  <c r="I311" i="7"/>
  <c r="AJ310" i="7"/>
  <c r="AK310" i="7" s="1"/>
  <c r="Y310" i="7"/>
  <c r="X310" i="7"/>
  <c r="Z310" i="7" s="1"/>
  <c r="W310" i="7"/>
  <c r="V310" i="7"/>
  <c r="T310" i="7"/>
  <c r="S310" i="7"/>
  <c r="O310" i="7"/>
  <c r="I310" i="7"/>
  <c r="AJ309" i="7"/>
  <c r="AK309" i="7" s="1"/>
  <c r="Y309" i="7"/>
  <c r="X309" i="7"/>
  <c r="Z309" i="7" s="1"/>
  <c r="W309" i="7"/>
  <c r="V309" i="7"/>
  <c r="T309" i="7"/>
  <c r="S309" i="7"/>
  <c r="O309" i="7"/>
  <c r="I309" i="7"/>
  <c r="AJ308" i="7"/>
  <c r="AK308" i="7" s="1"/>
  <c r="Y308" i="7"/>
  <c r="X308" i="7"/>
  <c r="Z308" i="7" s="1"/>
  <c r="W308" i="7"/>
  <c r="V308" i="7"/>
  <c r="T308" i="7"/>
  <c r="S308" i="7"/>
  <c r="O308" i="7"/>
  <c r="I308" i="7"/>
  <c r="AJ307" i="7"/>
  <c r="AK307" i="7" s="1"/>
  <c r="Y307" i="7"/>
  <c r="X307" i="7"/>
  <c r="Z307" i="7" s="1"/>
  <c r="W307" i="7"/>
  <c r="V307" i="7"/>
  <c r="T307" i="7"/>
  <c r="S307" i="7"/>
  <c r="O307" i="7"/>
  <c r="I307" i="7"/>
  <c r="AJ306" i="7"/>
  <c r="Y306" i="7"/>
  <c r="X306" i="7"/>
  <c r="Z306" i="7" s="1"/>
  <c r="W306" i="7"/>
  <c r="V306" i="7"/>
  <c r="T306" i="7"/>
  <c r="S306" i="7"/>
  <c r="O306" i="7"/>
  <c r="I306" i="7"/>
  <c r="AJ305" i="7"/>
  <c r="AK305" i="7" s="1"/>
  <c r="Y305" i="7"/>
  <c r="X305" i="7"/>
  <c r="W305" i="7"/>
  <c r="V305" i="7"/>
  <c r="T305" i="7"/>
  <c r="S305" i="7"/>
  <c r="O305" i="7"/>
  <c r="I305" i="7"/>
  <c r="AJ304" i="7"/>
  <c r="AK304" i="7" s="1"/>
  <c r="Y304" i="7"/>
  <c r="X304" i="7"/>
  <c r="Z304" i="7" s="1"/>
  <c r="W304" i="7"/>
  <c r="V304" i="7"/>
  <c r="T304" i="7"/>
  <c r="S304" i="7"/>
  <c r="O304" i="7"/>
  <c r="I304" i="7"/>
  <c r="AJ303" i="7"/>
  <c r="AK303" i="7" s="1"/>
  <c r="Y303" i="7"/>
  <c r="X303" i="7"/>
  <c r="Z303" i="7" s="1"/>
  <c r="W303" i="7"/>
  <c r="V303" i="7"/>
  <c r="T303" i="7"/>
  <c r="S303" i="7"/>
  <c r="O303" i="7"/>
  <c r="I303" i="7"/>
  <c r="AJ302" i="7"/>
  <c r="AK302" i="7" s="1"/>
  <c r="Y302" i="7"/>
  <c r="X302" i="7"/>
  <c r="Z302" i="7" s="1"/>
  <c r="W302" i="7"/>
  <c r="V302" i="7"/>
  <c r="T302" i="7"/>
  <c r="S302" i="7"/>
  <c r="O302" i="7"/>
  <c r="I302" i="7"/>
  <c r="AJ301" i="7"/>
  <c r="AK301" i="7" s="1"/>
  <c r="Y301" i="7"/>
  <c r="X301" i="7"/>
  <c r="Z301" i="7" s="1"/>
  <c r="W301" i="7"/>
  <c r="V301" i="7"/>
  <c r="T301" i="7"/>
  <c r="S301" i="7"/>
  <c r="O301" i="7"/>
  <c r="I301" i="7"/>
  <c r="AJ300" i="7"/>
  <c r="AK300" i="7" s="1"/>
  <c r="Y300" i="7"/>
  <c r="X300" i="7"/>
  <c r="Z300" i="7" s="1"/>
  <c r="W300" i="7"/>
  <c r="V300" i="7"/>
  <c r="T300" i="7"/>
  <c r="S300" i="7"/>
  <c r="O300" i="7"/>
  <c r="I300" i="7"/>
  <c r="AJ299" i="7"/>
  <c r="Y299" i="7"/>
  <c r="X299" i="7"/>
  <c r="Z299" i="7" s="1"/>
  <c r="W299" i="7"/>
  <c r="V299" i="7"/>
  <c r="T299" i="7"/>
  <c r="S299" i="7"/>
  <c r="O299" i="7"/>
  <c r="I299" i="7"/>
  <c r="AJ298" i="7"/>
  <c r="AK298" i="7" s="1"/>
  <c r="Y298" i="7"/>
  <c r="X298" i="7"/>
  <c r="Z298" i="7" s="1"/>
  <c r="W298" i="7"/>
  <c r="V298" i="7"/>
  <c r="T298" i="7"/>
  <c r="S298" i="7"/>
  <c r="O298" i="7"/>
  <c r="I298" i="7"/>
  <c r="AJ297" i="7"/>
  <c r="AK297" i="7" s="1"/>
  <c r="Y297" i="7"/>
  <c r="X297" i="7"/>
  <c r="Z297" i="7" s="1"/>
  <c r="W297" i="7"/>
  <c r="V297" i="7"/>
  <c r="T297" i="7"/>
  <c r="S297" i="7"/>
  <c r="O297" i="7"/>
  <c r="I297" i="7"/>
  <c r="AJ296" i="7"/>
  <c r="AK296" i="7" s="1"/>
  <c r="Y296" i="7"/>
  <c r="X296" i="7"/>
  <c r="Z296" i="7" s="1"/>
  <c r="W296" i="7"/>
  <c r="V296" i="7"/>
  <c r="T296" i="7"/>
  <c r="S296" i="7"/>
  <c r="O296" i="7"/>
  <c r="I296" i="7"/>
  <c r="AJ295" i="7"/>
  <c r="AK295" i="7" s="1"/>
  <c r="Y295" i="7"/>
  <c r="X295" i="7"/>
  <c r="Z295" i="7" s="1"/>
  <c r="W295" i="7"/>
  <c r="V295" i="7"/>
  <c r="T295" i="7"/>
  <c r="S295" i="7"/>
  <c r="O295" i="7"/>
  <c r="I295" i="7"/>
  <c r="AJ294" i="7"/>
  <c r="AK294" i="7" s="1"/>
  <c r="Y294" i="7"/>
  <c r="X294" i="7"/>
  <c r="Z294" i="7" s="1"/>
  <c r="W294" i="7"/>
  <c r="V294" i="7"/>
  <c r="T294" i="7"/>
  <c r="S294" i="7"/>
  <c r="O294" i="7"/>
  <c r="I294" i="7"/>
  <c r="AJ293" i="7"/>
  <c r="AK293" i="7" s="1"/>
  <c r="Y293" i="7"/>
  <c r="X293" i="7"/>
  <c r="Z293" i="7" s="1"/>
  <c r="W293" i="7"/>
  <c r="V293" i="7"/>
  <c r="T293" i="7"/>
  <c r="S293" i="7"/>
  <c r="O293" i="7"/>
  <c r="I293" i="7"/>
  <c r="AJ292" i="7"/>
  <c r="AK292" i="7" s="1"/>
  <c r="Y292" i="7"/>
  <c r="X292" i="7"/>
  <c r="Z292" i="7" s="1"/>
  <c r="W292" i="7"/>
  <c r="V292" i="7"/>
  <c r="T292" i="7"/>
  <c r="S292" i="7"/>
  <c r="O292" i="7"/>
  <c r="I292" i="7"/>
  <c r="AJ291" i="7"/>
  <c r="Y291" i="7"/>
  <c r="X291" i="7"/>
  <c r="Z291" i="7" s="1"/>
  <c r="W291" i="7"/>
  <c r="V291" i="7"/>
  <c r="T291" i="7"/>
  <c r="S291" i="7"/>
  <c r="O291" i="7"/>
  <c r="I291" i="7"/>
  <c r="AJ290" i="7"/>
  <c r="AK290" i="7" s="1"/>
  <c r="Y290" i="7"/>
  <c r="X290" i="7"/>
  <c r="Z290" i="7" s="1"/>
  <c r="W290" i="7"/>
  <c r="V290" i="7"/>
  <c r="T290" i="7"/>
  <c r="S290" i="7"/>
  <c r="O290" i="7"/>
  <c r="I290" i="7"/>
  <c r="AJ289" i="7"/>
  <c r="AK289" i="7" s="1"/>
  <c r="Y289" i="7"/>
  <c r="X289" i="7"/>
  <c r="Z289" i="7" s="1"/>
  <c r="W289" i="7"/>
  <c r="V289" i="7"/>
  <c r="T289" i="7"/>
  <c r="S289" i="7"/>
  <c r="O289" i="7"/>
  <c r="I289" i="7"/>
  <c r="AJ288" i="7"/>
  <c r="Y288" i="7"/>
  <c r="X288" i="7"/>
  <c r="Z288" i="7" s="1"/>
  <c r="W288" i="7"/>
  <c r="V288" i="7"/>
  <c r="T288" i="7"/>
  <c r="S288" i="7"/>
  <c r="O288" i="7"/>
  <c r="I288" i="7"/>
  <c r="AJ287" i="7"/>
  <c r="AK287" i="7" s="1"/>
  <c r="Y287" i="7"/>
  <c r="X287" i="7"/>
  <c r="Z287" i="7" s="1"/>
  <c r="W287" i="7"/>
  <c r="V287" i="7"/>
  <c r="T287" i="7"/>
  <c r="S287" i="7"/>
  <c r="O287" i="7"/>
  <c r="I287" i="7"/>
  <c r="AJ286" i="7"/>
  <c r="AK286" i="7" s="1"/>
  <c r="Y286" i="7"/>
  <c r="X286" i="7"/>
  <c r="Z286" i="7" s="1"/>
  <c r="W286" i="7"/>
  <c r="V286" i="7"/>
  <c r="T286" i="7"/>
  <c r="S286" i="7"/>
  <c r="O286" i="7"/>
  <c r="I286" i="7"/>
  <c r="AJ285" i="7"/>
  <c r="AK285" i="7" s="1"/>
  <c r="Y285" i="7"/>
  <c r="X285" i="7"/>
  <c r="Z285" i="7" s="1"/>
  <c r="W285" i="7"/>
  <c r="V285" i="7"/>
  <c r="T285" i="7"/>
  <c r="S285" i="7"/>
  <c r="O285" i="7"/>
  <c r="I285" i="7"/>
  <c r="AJ284" i="7"/>
  <c r="Y284" i="7"/>
  <c r="X284" i="7"/>
  <c r="Z284" i="7" s="1"/>
  <c r="W284" i="7"/>
  <c r="V284" i="7"/>
  <c r="T284" i="7"/>
  <c r="S284" i="7"/>
  <c r="O284" i="7"/>
  <c r="I284" i="7"/>
  <c r="AJ283" i="7"/>
  <c r="AK283" i="7" s="1"/>
  <c r="Y283" i="7"/>
  <c r="X283" i="7"/>
  <c r="Z283" i="7" s="1"/>
  <c r="W283" i="7"/>
  <c r="V283" i="7"/>
  <c r="T283" i="7"/>
  <c r="S283" i="7"/>
  <c r="O283" i="7"/>
  <c r="I283" i="7"/>
  <c r="AJ282" i="7"/>
  <c r="AK282" i="7" s="1"/>
  <c r="Y282" i="7"/>
  <c r="X282" i="7"/>
  <c r="Z282" i="7" s="1"/>
  <c r="W282" i="7"/>
  <c r="V282" i="7"/>
  <c r="T282" i="7"/>
  <c r="S282" i="7"/>
  <c r="O282" i="7"/>
  <c r="I282" i="7"/>
  <c r="AJ281" i="7"/>
  <c r="AK281" i="7" s="1"/>
  <c r="Y281" i="7"/>
  <c r="X281" i="7"/>
  <c r="Z281" i="7" s="1"/>
  <c r="W281" i="7"/>
  <c r="V281" i="7"/>
  <c r="T281" i="7"/>
  <c r="S281" i="7"/>
  <c r="O281" i="7"/>
  <c r="I281" i="7"/>
  <c r="AJ280" i="7"/>
  <c r="AK280" i="7" s="1"/>
  <c r="Y280" i="7"/>
  <c r="X280" i="7"/>
  <c r="Z280" i="7" s="1"/>
  <c r="W280" i="7"/>
  <c r="V280" i="7"/>
  <c r="T280" i="7"/>
  <c r="S280" i="7"/>
  <c r="O280" i="7"/>
  <c r="I280" i="7"/>
  <c r="AJ279" i="7"/>
  <c r="AK279" i="7" s="1"/>
  <c r="Y279" i="7"/>
  <c r="X279" i="7"/>
  <c r="Z279" i="7" s="1"/>
  <c r="W279" i="7"/>
  <c r="V279" i="7"/>
  <c r="T279" i="7"/>
  <c r="S279" i="7"/>
  <c r="O279" i="7"/>
  <c r="I279" i="7"/>
  <c r="AJ278" i="7"/>
  <c r="Y278" i="7"/>
  <c r="X278" i="7"/>
  <c r="Z278" i="7" s="1"/>
  <c r="W278" i="7"/>
  <c r="V278" i="7"/>
  <c r="T278" i="7"/>
  <c r="S278" i="7"/>
  <c r="O278" i="7"/>
  <c r="I278" i="7"/>
  <c r="AJ277" i="7"/>
  <c r="Y277" i="7"/>
  <c r="X277" i="7"/>
  <c r="Z277" i="7" s="1"/>
  <c r="W277" i="7"/>
  <c r="V277" i="7"/>
  <c r="T277" i="7"/>
  <c r="S277" i="7"/>
  <c r="O277" i="7"/>
  <c r="I277" i="7"/>
  <c r="AJ276" i="7"/>
  <c r="AK276" i="7" s="1"/>
  <c r="Y276" i="7"/>
  <c r="X276" i="7"/>
  <c r="Z276" i="7" s="1"/>
  <c r="W276" i="7"/>
  <c r="V276" i="7"/>
  <c r="T276" i="7"/>
  <c r="S276" i="7"/>
  <c r="O276" i="7"/>
  <c r="I276" i="7"/>
  <c r="AJ275" i="7"/>
  <c r="AK275" i="7" s="1"/>
  <c r="Y275" i="7"/>
  <c r="X275" i="7"/>
  <c r="Z275" i="7" s="1"/>
  <c r="W275" i="7"/>
  <c r="V275" i="7"/>
  <c r="T275" i="7"/>
  <c r="S275" i="7"/>
  <c r="O275" i="7"/>
  <c r="I275" i="7"/>
  <c r="AJ274" i="7"/>
  <c r="AK274" i="7" s="1"/>
  <c r="Y274" i="7"/>
  <c r="X274" i="7"/>
  <c r="Z274" i="7" s="1"/>
  <c r="W274" i="7"/>
  <c r="V274" i="7"/>
  <c r="T274" i="7"/>
  <c r="S274" i="7"/>
  <c r="O274" i="7"/>
  <c r="I274" i="7"/>
  <c r="AJ273" i="7"/>
  <c r="AK273" i="7" s="1"/>
  <c r="Y273" i="7"/>
  <c r="X273" i="7"/>
  <c r="Z273" i="7" s="1"/>
  <c r="W273" i="7"/>
  <c r="V273" i="7"/>
  <c r="T273" i="7"/>
  <c r="S273" i="7"/>
  <c r="O273" i="7"/>
  <c r="I273" i="7"/>
  <c r="AJ272" i="7"/>
  <c r="Y272" i="7"/>
  <c r="X272" i="7"/>
  <c r="Z272" i="7" s="1"/>
  <c r="W272" i="7"/>
  <c r="V272" i="7"/>
  <c r="T272" i="7"/>
  <c r="S272" i="7"/>
  <c r="O272" i="7"/>
  <c r="I272" i="7"/>
  <c r="AJ271" i="7"/>
  <c r="Y271" i="7"/>
  <c r="X271" i="7"/>
  <c r="Z271" i="7" s="1"/>
  <c r="W271" i="7"/>
  <c r="V271" i="7"/>
  <c r="T271" i="7"/>
  <c r="S271" i="7"/>
  <c r="O271" i="7"/>
  <c r="I271" i="7"/>
  <c r="AJ270" i="7"/>
  <c r="AK270" i="7" s="1"/>
  <c r="Y270" i="7"/>
  <c r="X270" i="7"/>
  <c r="Z270" i="7" s="1"/>
  <c r="W270" i="7"/>
  <c r="V270" i="7"/>
  <c r="T270" i="7"/>
  <c r="S270" i="7"/>
  <c r="O270" i="7"/>
  <c r="I270" i="7"/>
  <c r="AJ269" i="7"/>
  <c r="AK269" i="7" s="1"/>
  <c r="Y269" i="7"/>
  <c r="X269" i="7"/>
  <c r="Z269" i="7" s="1"/>
  <c r="W269" i="7"/>
  <c r="V269" i="7"/>
  <c r="T269" i="7"/>
  <c r="S269" i="7"/>
  <c r="O269" i="7"/>
  <c r="I269" i="7"/>
  <c r="AJ268" i="7"/>
  <c r="AK268" i="7" s="1"/>
  <c r="Y268" i="7"/>
  <c r="X268" i="7"/>
  <c r="Z268" i="7" s="1"/>
  <c r="W268" i="7"/>
  <c r="V268" i="7"/>
  <c r="T268" i="7"/>
  <c r="S268" i="7"/>
  <c r="O268" i="7"/>
  <c r="I268" i="7"/>
  <c r="AJ267" i="7"/>
  <c r="AK267" i="7" s="1"/>
  <c r="Y267" i="7"/>
  <c r="X267" i="7"/>
  <c r="Z267" i="7" s="1"/>
  <c r="W267" i="7"/>
  <c r="V267" i="7"/>
  <c r="T267" i="7"/>
  <c r="S267" i="7"/>
  <c r="O267" i="7"/>
  <c r="I267" i="7"/>
  <c r="AJ266" i="7"/>
  <c r="Y266" i="7"/>
  <c r="X266" i="7"/>
  <c r="Z266" i="7" s="1"/>
  <c r="W266" i="7"/>
  <c r="V266" i="7"/>
  <c r="T266" i="7"/>
  <c r="S266" i="7"/>
  <c r="O266" i="7"/>
  <c r="I266" i="7"/>
  <c r="AJ265" i="7"/>
  <c r="Y265" i="7"/>
  <c r="X265" i="7"/>
  <c r="Z265" i="7" s="1"/>
  <c r="W265" i="7"/>
  <c r="V265" i="7"/>
  <c r="T265" i="7"/>
  <c r="S265" i="7"/>
  <c r="O265" i="7"/>
  <c r="I265" i="7"/>
  <c r="AJ264" i="7"/>
  <c r="AK264" i="7" s="1"/>
  <c r="Y264" i="7"/>
  <c r="X264" i="7"/>
  <c r="Z264" i="7" s="1"/>
  <c r="W264" i="7"/>
  <c r="V264" i="7"/>
  <c r="T264" i="7"/>
  <c r="S264" i="7"/>
  <c r="O264" i="7"/>
  <c r="I264" i="7"/>
  <c r="AJ263" i="7"/>
  <c r="AK263" i="7" s="1"/>
  <c r="Y263" i="7"/>
  <c r="X263" i="7"/>
  <c r="Z263" i="7" s="1"/>
  <c r="W263" i="7"/>
  <c r="V263" i="7"/>
  <c r="T263" i="7"/>
  <c r="S263" i="7"/>
  <c r="O263" i="7"/>
  <c r="I263" i="7"/>
  <c r="AJ262" i="7"/>
  <c r="AK262" i="7" s="1"/>
  <c r="Y262" i="7"/>
  <c r="X262" i="7"/>
  <c r="Z262" i="7" s="1"/>
  <c r="W262" i="7"/>
  <c r="V262" i="7"/>
  <c r="T262" i="7"/>
  <c r="S262" i="7"/>
  <c r="O262" i="7"/>
  <c r="I262" i="7"/>
  <c r="AJ261" i="7"/>
  <c r="AK261" i="7" s="1"/>
  <c r="Y261" i="7"/>
  <c r="X261" i="7"/>
  <c r="Z261" i="7" s="1"/>
  <c r="W261" i="7"/>
  <c r="V261" i="7"/>
  <c r="T261" i="7"/>
  <c r="S261" i="7"/>
  <c r="O261" i="7"/>
  <c r="I261" i="7"/>
  <c r="AJ260" i="7"/>
  <c r="Y260" i="7"/>
  <c r="X260" i="7"/>
  <c r="Z260" i="7" s="1"/>
  <c r="W260" i="7"/>
  <c r="V260" i="7"/>
  <c r="T260" i="7"/>
  <c r="S260" i="7"/>
  <c r="O260" i="7"/>
  <c r="I260" i="7"/>
  <c r="AJ259" i="7"/>
  <c r="Y259" i="7"/>
  <c r="X259" i="7"/>
  <c r="W259" i="7"/>
  <c r="V259" i="7"/>
  <c r="T259" i="7"/>
  <c r="S259" i="7"/>
  <c r="O259" i="7"/>
  <c r="I259" i="7"/>
  <c r="AJ258" i="7"/>
  <c r="AK258" i="7" s="1"/>
  <c r="Y258" i="7"/>
  <c r="X258" i="7"/>
  <c r="Z258" i="7" s="1"/>
  <c r="W258" i="7"/>
  <c r="V258" i="7"/>
  <c r="T258" i="7"/>
  <c r="S258" i="7"/>
  <c r="O258" i="7"/>
  <c r="I258" i="7"/>
  <c r="AJ257" i="7"/>
  <c r="AK257" i="7" s="1"/>
  <c r="Y257" i="7"/>
  <c r="X257" i="7"/>
  <c r="Z257" i="7" s="1"/>
  <c r="W257" i="7"/>
  <c r="V257" i="7"/>
  <c r="T257" i="7"/>
  <c r="S257" i="7"/>
  <c r="O257" i="7"/>
  <c r="I257" i="7"/>
  <c r="AJ256" i="7"/>
  <c r="Y256" i="7"/>
  <c r="X256" i="7"/>
  <c r="Z256" i="7" s="1"/>
  <c r="W256" i="7"/>
  <c r="V256" i="7"/>
  <c r="T256" i="7"/>
  <c r="S256" i="7"/>
  <c r="O256" i="7"/>
  <c r="I256" i="7"/>
  <c r="AJ255" i="7"/>
  <c r="AK255" i="7" s="1"/>
  <c r="Y255" i="7"/>
  <c r="X255" i="7"/>
  <c r="Z255" i="7" s="1"/>
  <c r="W255" i="7"/>
  <c r="V255" i="7"/>
  <c r="T255" i="7"/>
  <c r="S255" i="7"/>
  <c r="O255" i="7"/>
  <c r="I255" i="7"/>
  <c r="AJ254" i="7"/>
  <c r="AK254" i="7" s="1"/>
  <c r="Y254" i="7"/>
  <c r="X254" i="7"/>
  <c r="Z254" i="7" s="1"/>
  <c r="W254" i="7"/>
  <c r="V254" i="7"/>
  <c r="T254" i="7"/>
  <c r="S254" i="7"/>
  <c r="O254" i="7"/>
  <c r="I254" i="7"/>
  <c r="AJ253" i="7"/>
  <c r="Y253" i="7"/>
  <c r="X253" i="7"/>
  <c r="Z253" i="7" s="1"/>
  <c r="W253" i="7"/>
  <c r="V253" i="7"/>
  <c r="T253" i="7"/>
  <c r="S253" i="7"/>
  <c r="O253" i="7"/>
  <c r="I253" i="7"/>
  <c r="AJ252" i="7"/>
  <c r="Y252" i="7"/>
  <c r="X252" i="7"/>
  <c r="Z252" i="7" s="1"/>
  <c r="W252" i="7"/>
  <c r="V252" i="7"/>
  <c r="T252" i="7"/>
  <c r="S252" i="7"/>
  <c r="O252" i="7"/>
  <c r="I252" i="7"/>
  <c r="AJ251" i="7"/>
  <c r="AK251" i="7" s="1"/>
  <c r="Y251" i="7"/>
  <c r="X251" i="7"/>
  <c r="W251" i="7"/>
  <c r="V251" i="7"/>
  <c r="T251" i="7"/>
  <c r="S251" i="7"/>
  <c r="O251" i="7"/>
  <c r="I251" i="7"/>
  <c r="AJ250" i="7"/>
  <c r="AK250" i="7" s="1"/>
  <c r="Y250" i="7"/>
  <c r="X250" i="7"/>
  <c r="Z250" i="7" s="1"/>
  <c r="W250" i="7"/>
  <c r="V250" i="7"/>
  <c r="T250" i="7"/>
  <c r="S250" i="7"/>
  <c r="O250" i="7"/>
  <c r="I250" i="7"/>
  <c r="AJ249" i="7"/>
  <c r="AK249" i="7" s="1"/>
  <c r="Y249" i="7"/>
  <c r="X249" i="7"/>
  <c r="Z249" i="7" s="1"/>
  <c r="W249" i="7"/>
  <c r="V249" i="7"/>
  <c r="T249" i="7"/>
  <c r="S249" i="7"/>
  <c r="O249" i="7"/>
  <c r="I249" i="7"/>
  <c r="AJ248" i="7"/>
  <c r="Y248" i="7"/>
  <c r="X248" i="7"/>
  <c r="Z248" i="7" s="1"/>
  <c r="W248" i="7"/>
  <c r="V248" i="7"/>
  <c r="T248" i="7"/>
  <c r="S248" i="7"/>
  <c r="O248" i="7"/>
  <c r="I248" i="7"/>
  <c r="AJ247" i="7"/>
  <c r="AK247" i="7" s="1"/>
  <c r="Y247" i="7"/>
  <c r="X247" i="7"/>
  <c r="Z247" i="7" s="1"/>
  <c r="W247" i="7"/>
  <c r="V247" i="7"/>
  <c r="T247" i="7"/>
  <c r="S247" i="7"/>
  <c r="O247" i="7"/>
  <c r="I247" i="7"/>
  <c r="AJ246" i="7"/>
  <c r="AK246" i="7" s="1"/>
  <c r="Y246" i="7"/>
  <c r="X246" i="7"/>
  <c r="Z246" i="7" s="1"/>
  <c r="W246" i="7"/>
  <c r="V246" i="7"/>
  <c r="T246" i="7"/>
  <c r="S246" i="7"/>
  <c r="O246" i="7"/>
  <c r="I246" i="7"/>
  <c r="AJ245" i="7"/>
  <c r="AK245" i="7" s="1"/>
  <c r="Y245" i="7"/>
  <c r="X245" i="7"/>
  <c r="Z245" i="7" s="1"/>
  <c r="W245" i="7"/>
  <c r="V245" i="7"/>
  <c r="T245" i="7"/>
  <c r="S245" i="7"/>
  <c r="O245" i="7"/>
  <c r="I245" i="7"/>
  <c r="AJ244" i="7"/>
  <c r="Y244" i="7"/>
  <c r="X244" i="7"/>
  <c r="W244" i="7"/>
  <c r="V244" i="7"/>
  <c r="T244" i="7"/>
  <c r="S244" i="7"/>
  <c r="O244" i="7"/>
  <c r="I244" i="7"/>
  <c r="AJ243" i="7"/>
  <c r="AK243" i="7" s="1"/>
  <c r="Y243" i="7"/>
  <c r="X243" i="7"/>
  <c r="Z243" i="7" s="1"/>
  <c r="W243" i="7"/>
  <c r="V243" i="7"/>
  <c r="T243" i="7"/>
  <c r="S243" i="7"/>
  <c r="O243" i="7"/>
  <c r="I243" i="7"/>
  <c r="AJ242" i="7"/>
  <c r="AK242" i="7" s="1"/>
  <c r="Y242" i="7"/>
  <c r="X242" i="7"/>
  <c r="Z242" i="7" s="1"/>
  <c r="W242" i="7"/>
  <c r="V242" i="7"/>
  <c r="T242" i="7"/>
  <c r="S242" i="7"/>
  <c r="O242" i="7"/>
  <c r="I242" i="7"/>
  <c r="AJ241" i="7"/>
  <c r="Y241" i="7"/>
  <c r="X241" i="7"/>
  <c r="Z241" i="7" s="1"/>
  <c r="W241" i="7"/>
  <c r="V241" i="7"/>
  <c r="T241" i="7"/>
  <c r="S241" i="7"/>
  <c r="O241" i="7"/>
  <c r="I241" i="7"/>
  <c r="AJ240" i="7"/>
  <c r="AK240" i="7" s="1"/>
  <c r="Y240" i="7"/>
  <c r="X240" i="7"/>
  <c r="Z240" i="7" s="1"/>
  <c r="W240" i="7"/>
  <c r="V240" i="7"/>
  <c r="T240" i="7"/>
  <c r="S240" i="7"/>
  <c r="O240" i="7"/>
  <c r="I240" i="7"/>
  <c r="AJ239" i="7"/>
  <c r="AK239" i="7" s="1"/>
  <c r="Y239" i="7"/>
  <c r="X239" i="7"/>
  <c r="W239" i="7"/>
  <c r="V239" i="7"/>
  <c r="T239" i="7"/>
  <c r="S239" i="7"/>
  <c r="O239" i="7"/>
  <c r="I239" i="7"/>
  <c r="AJ238" i="7"/>
  <c r="AK238" i="7" s="1"/>
  <c r="Y238" i="7"/>
  <c r="X238" i="7"/>
  <c r="Z238" i="7" s="1"/>
  <c r="W238" i="7"/>
  <c r="V238" i="7"/>
  <c r="T238" i="7"/>
  <c r="S238" i="7"/>
  <c r="O238" i="7"/>
  <c r="I238" i="7"/>
  <c r="AJ237" i="7"/>
  <c r="AK237" i="7" s="1"/>
  <c r="Y237" i="7"/>
  <c r="X237" i="7"/>
  <c r="Z237" i="7" s="1"/>
  <c r="W237" i="7"/>
  <c r="V237" i="7"/>
  <c r="T237" i="7"/>
  <c r="S237" i="7"/>
  <c r="O237" i="7"/>
  <c r="I237" i="7"/>
  <c r="AJ236" i="7"/>
  <c r="AK236" i="7" s="1"/>
  <c r="Y236" i="7"/>
  <c r="X236" i="7"/>
  <c r="Z236" i="7" s="1"/>
  <c r="W236" i="7"/>
  <c r="V236" i="7"/>
  <c r="T236" i="7"/>
  <c r="S236" i="7"/>
  <c r="O236" i="7"/>
  <c r="I236" i="7"/>
  <c r="AJ235" i="7"/>
  <c r="Y235" i="7"/>
  <c r="X235" i="7"/>
  <c r="W235" i="7"/>
  <c r="V235" i="7"/>
  <c r="T235" i="7"/>
  <c r="S235" i="7"/>
  <c r="O235" i="7"/>
  <c r="I235" i="7"/>
  <c r="AJ234" i="7"/>
  <c r="AK234" i="7" s="1"/>
  <c r="Y234" i="7"/>
  <c r="X234" i="7"/>
  <c r="Z234" i="7" s="1"/>
  <c r="W234" i="7"/>
  <c r="V234" i="7"/>
  <c r="T234" i="7"/>
  <c r="S234" i="7"/>
  <c r="O234" i="7"/>
  <c r="I234" i="7"/>
  <c r="AK233" i="7"/>
  <c r="Y233" i="7"/>
  <c r="X233" i="7"/>
  <c r="Z233" i="7" s="1"/>
  <c r="W233" i="7"/>
  <c r="V233" i="7"/>
  <c r="T233" i="7"/>
  <c r="S233" i="7"/>
  <c r="O233" i="7"/>
  <c r="I233" i="7"/>
  <c r="Y232" i="7"/>
  <c r="X232" i="7"/>
  <c r="Z232" i="7" s="1"/>
  <c r="W232" i="7"/>
  <c r="V232" i="7"/>
  <c r="T232" i="7"/>
  <c r="S232" i="7"/>
  <c r="O232" i="7"/>
  <c r="I232" i="7"/>
  <c r="Y231" i="7"/>
  <c r="X231" i="7"/>
  <c r="Z231" i="7" s="1"/>
  <c r="W231" i="7"/>
  <c r="V231" i="7"/>
  <c r="T231" i="7"/>
  <c r="S231" i="7"/>
  <c r="O231" i="7"/>
  <c r="I231" i="7"/>
  <c r="Y230" i="7"/>
  <c r="X230" i="7"/>
  <c r="W230" i="7"/>
  <c r="V230" i="7"/>
  <c r="T230" i="7"/>
  <c r="S230" i="7"/>
  <c r="O230" i="7"/>
  <c r="I230" i="7"/>
  <c r="Y229" i="7"/>
  <c r="X229" i="7"/>
  <c r="Z229" i="7" s="1"/>
  <c r="W229" i="7"/>
  <c r="V229" i="7"/>
  <c r="T229" i="7"/>
  <c r="S229" i="7"/>
  <c r="O229" i="7"/>
  <c r="I229" i="7"/>
  <c r="AK228" i="7"/>
  <c r="Y228" i="7"/>
  <c r="X228" i="7"/>
  <c r="Z228" i="7" s="1"/>
  <c r="W228" i="7"/>
  <c r="V228" i="7"/>
  <c r="T228" i="7"/>
  <c r="S228" i="7"/>
  <c r="O228" i="7"/>
  <c r="I228" i="7"/>
  <c r="AG32" i="6"/>
  <c r="AF32" i="6"/>
  <c r="AF26" i="7"/>
  <c r="AF25" i="7"/>
  <c r="M24" i="4"/>
  <c r="N24" i="4"/>
  <c r="O24" i="4"/>
  <c r="P24" i="4"/>
  <c r="Q24" i="4"/>
  <c r="M25" i="4"/>
  <c r="N25" i="4"/>
  <c r="O25" i="4"/>
  <c r="P25" i="4"/>
  <c r="Q25" i="4"/>
  <c r="M26" i="4"/>
  <c r="N26" i="4"/>
  <c r="O26" i="4"/>
  <c r="P26" i="4"/>
  <c r="Q26" i="4"/>
  <c r="M27" i="4"/>
  <c r="N27" i="4"/>
  <c r="O27" i="4"/>
  <c r="P27" i="4"/>
  <c r="Q27" i="4"/>
  <c r="M28" i="4"/>
  <c r="N28" i="4"/>
  <c r="O28" i="4"/>
  <c r="P28" i="4"/>
  <c r="Q28" i="4"/>
  <c r="M29" i="4"/>
  <c r="N29" i="4"/>
  <c r="O29" i="4"/>
  <c r="P29" i="4"/>
  <c r="Q29" i="4"/>
  <c r="M30" i="4"/>
  <c r="N30" i="4"/>
  <c r="O30" i="4"/>
  <c r="P30" i="4"/>
  <c r="Q30" i="4"/>
  <c r="M31" i="4"/>
  <c r="N31" i="4"/>
  <c r="O31" i="4"/>
  <c r="P31" i="4"/>
  <c r="Q31" i="4"/>
  <c r="M32" i="4"/>
  <c r="N32" i="4"/>
  <c r="O32" i="4"/>
  <c r="P32" i="4"/>
  <c r="Q32" i="4"/>
  <c r="M33" i="4"/>
  <c r="N33" i="4"/>
  <c r="O33" i="4"/>
  <c r="P33" i="4"/>
  <c r="Q33" i="4"/>
  <c r="M34" i="4"/>
  <c r="N34" i="4"/>
  <c r="O34" i="4"/>
  <c r="P34" i="4"/>
  <c r="Q34" i="4"/>
  <c r="M35" i="4"/>
  <c r="N35" i="4"/>
  <c r="O35" i="4"/>
  <c r="P35" i="4"/>
  <c r="Q35" i="4"/>
  <c r="M36" i="4"/>
  <c r="N36" i="4"/>
  <c r="O36" i="4"/>
  <c r="P36" i="4"/>
  <c r="Q36" i="4"/>
  <c r="M37" i="4"/>
  <c r="N37" i="4"/>
  <c r="O37" i="4"/>
  <c r="P37" i="4"/>
  <c r="Q37" i="4"/>
  <c r="M38" i="4"/>
  <c r="N38" i="4"/>
  <c r="O38" i="4"/>
  <c r="P38" i="4"/>
  <c r="Q38" i="4"/>
  <c r="M39" i="4"/>
  <c r="N39" i="4"/>
  <c r="O39" i="4"/>
  <c r="P39" i="4"/>
  <c r="Q39" i="4"/>
  <c r="M40" i="4"/>
  <c r="N40" i="4"/>
  <c r="O40" i="4"/>
  <c r="P40" i="4"/>
  <c r="Q40" i="4"/>
  <c r="M41" i="4"/>
  <c r="N41" i="4"/>
  <c r="O41" i="4"/>
  <c r="P41" i="4"/>
  <c r="Q41" i="4"/>
  <c r="M42" i="4"/>
  <c r="N42" i="4"/>
  <c r="O42" i="4"/>
  <c r="P42" i="4"/>
  <c r="Q42" i="4"/>
  <c r="M43" i="4"/>
  <c r="N43" i="4"/>
  <c r="O43" i="4"/>
  <c r="P43" i="4"/>
  <c r="Q43" i="4"/>
  <c r="M44" i="4"/>
  <c r="N44" i="4"/>
  <c r="O44" i="4"/>
  <c r="P44" i="4"/>
  <c r="Q44" i="4"/>
  <c r="M45" i="4"/>
  <c r="N45" i="4"/>
  <c r="O45" i="4"/>
  <c r="P45" i="4"/>
  <c r="Q45" i="4"/>
  <c r="AJ25" i="7"/>
  <c r="O26" i="7"/>
  <c r="AJ26" i="7" s="1"/>
  <c r="D34" i="4"/>
  <c r="D33" i="4"/>
  <c r="AG26" i="7"/>
  <c r="AG25" i="7"/>
  <c r="Z230" i="7" l="1"/>
  <c r="AC230" i="7" s="1"/>
  <c r="AE230" i="7" s="1"/>
  <c r="AH230" i="7" s="1"/>
  <c r="Z235" i="7"/>
  <c r="AA235" i="7" s="1"/>
  <c r="Z239" i="7"/>
  <c r="AC239" i="7" s="1"/>
  <c r="Z244" i="7"/>
  <c r="AA244" i="7" s="1"/>
  <c r="Z251" i="7"/>
  <c r="AC251" i="7" s="1"/>
  <c r="Z259" i="7"/>
  <c r="AC259" i="7" s="1"/>
  <c r="AD259" i="7" s="1"/>
  <c r="Z305" i="7"/>
  <c r="AC305" i="7" s="1"/>
  <c r="Z130" i="7"/>
  <c r="AC130" i="7" s="1"/>
  <c r="Z132" i="7"/>
  <c r="AC132" i="7" s="1"/>
  <c r="Z143" i="7"/>
  <c r="AB143" i="7" s="1"/>
  <c r="Z145" i="7"/>
  <c r="AB145" i="7" s="1"/>
  <c r="Z146" i="7"/>
  <c r="AA146" i="7" s="1"/>
  <c r="Z149" i="7"/>
  <c r="AB149" i="7" s="1"/>
  <c r="Z151" i="7"/>
  <c r="AC151" i="7" s="1"/>
  <c r="Z152" i="7"/>
  <c r="AB152" i="7" s="1"/>
  <c r="Z160" i="7"/>
  <c r="AC160" i="7" s="1"/>
  <c r="AD160" i="7" s="1"/>
  <c r="Z161" i="7"/>
  <c r="AB161" i="7" s="1"/>
  <c r="Z167" i="7"/>
  <c r="AC167" i="7" s="1"/>
  <c r="Z170" i="7"/>
  <c r="AB170" i="7" s="1"/>
  <c r="Z176" i="7"/>
  <c r="AC176" i="7" s="1"/>
  <c r="Z181" i="7"/>
  <c r="AB181" i="7" s="1"/>
  <c r="Z190" i="7"/>
  <c r="AB190" i="7" s="1"/>
  <c r="Z193" i="7"/>
  <c r="AB193" i="7" s="1"/>
  <c r="Z197" i="7"/>
  <c r="AB197" i="7" s="1"/>
  <c r="Z202" i="7"/>
  <c r="AB202" i="7" s="1"/>
  <c r="Z203" i="7"/>
  <c r="AB203" i="7" s="1"/>
  <c r="Z208" i="7"/>
  <c r="AB208" i="7" s="1"/>
  <c r="Z211" i="7"/>
  <c r="AB211" i="7" s="1"/>
  <c r="Z213" i="7"/>
  <c r="AC213" i="7" s="1"/>
  <c r="Z40" i="7"/>
  <c r="AB40" i="7" s="1"/>
  <c r="AA41" i="7"/>
  <c r="AC41" i="7"/>
  <c r="AB44" i="7"/>
  <c r="AC44" i="7"/>
  <c r="AD44" i="7" s="1"/>
  <c r="Z49" i="7"/>
  <c r="AB49" i="7" s="1"/>
  <c r="Z59" i="7"/>
  <c r="AC59" i="7" s="1"/>
  <c r="AE59" i="7" s="1"/>
  <c r="AH59" i="7" s="1"/>
  <c r="Z60" i="7"/>
  <c r="AA61" i="7"/>
  <c r="AB61" i="7"/>
  <c r="AB69" i="7"/>
  <c r="AA69" i="7"/>
  <c r="AC115" i="7"/>
  <c r="AB115" i="7"/>
  <c r="AA115" i="7"/>
  <c r="AC121" i="7"/>
  <c r="AB121" i="7"/>
  <c r="AA121" i="7"/>
  <c r="AC28" i="7"/>
  <c r="AE28" i="7" s="1"/>
  <c r="AB28" i="7"/>
  <c r="AA28" i="7"/>
  <c r="AE41" i="7"/>
  <c r="AH41" i="7" s="1"/>
  <c r="AD41" i="7"/>
  <c r="AD47" i="7"/>
  <c r="AE47" i="7"/>
  <c r="AE100" i="7"/>
  <c r="AH100" i="7" s="1"/>
  <c r="AD100" i="7"/>
  <c r="AE121" i="7"/>
  <c r="AD121" i="7"/>
  <c r="AC233" i="7"/>
  <c r="AE233" i="7" s="1"/>
  <c r="AI233" i="7" s="1"/>
  <c r="AC135" i="7"/>
  <c r="AB138" i="7"/>
  <c r="AC139" i="7"/>
  <c r="AB140" i="7"/>
  <c r="AA140" i="7"/>
  <c r="AC158" i="7"/>
  <c r="AB158" i="7"/>
  <c r="AA158" i="7"/>
  <c r="AB179" i="7"/>
  <c r="AC179" i="7"/>
  <c r="AA179" i="7"/>
  <c r="AA185" i="7"/>
  <c r="AB185" i="7"/>
  <c r="AB188" i="7"/>
  <c r="AC188" i="7"/>
  <c r="AD188" i="7" s="1"/>
  <c r="AB194" i="7"/>
  <c r="AA194" i="7"/>
  <c r="AA204" i="7"/>
  <c r="AA205" i="7"/>
  <c r="AC205" i="7"/>
  <c r="AC220" i="7"/>
  <c r="AA221" i="7"/>
  <c r="AC221" i="7"/>
  <c r="AC142" i="7"/>
  <c r="AB142" i="7"/>
  <c r="AA142" i="7"/>
  <c r="AC169" i="7"/>
  <c r="AA169" i="7"/>
  <c r="AH121" i="7"/>
  <c r="AI121" i="7"/>
  <c r="AC270" i="7"/>
  <c r="AC294" i="7"/>
  <c r="AB133" i="7"/>
  <c r="AA135" i="7"/>
  <c r="AB156" i="7"/>
  <c r="AA160" i="7"/>
  <c r="AA177" i="7"/>
  <c r="AC185" i="7"/>
  <c r="AE185" i="7" s="1"/>
  <c r="AE188" i="7"/>
  <c r="AA216" i="7"/>
  <c r="AB160" i="7"/>
  <c r="AB300" i="7"/>
  <c r="AA319" i="7"/>
  <c r="AA210" i="7"/>
  <c r="AC299" i="7"/>
  <c r="AB146" i="7"/>
  <c r="AA203" i="7"/>
  <c r="AA280" i="7"/>
  <c r="AA145" i="7"/>
  <c r="AC146" i="7"/>
  <c r="AA152" i="7"/>
  <c r="AA201" i="7"/>
  <c r="AC203" i="7"/>
  <c r="AB249" i="7"/>
  <c r="AC152" i="7"/>
  <c r="AD152" i="7" s="1"/>
  <c r="AB166" i="7"/>
  <c r="AB207" i="7"/>
  <c r="AC223" i="7"/>
  <c r="AC225" i="7"/>
  <c r="AD59" i="7"/>
  <c r="AI100" i="7"/>
  <c r="AC149" i="7"/>
  <c r="AE149" i="7" s="1"/>
  <c r="AE44" i="7"/>
  <c r="AH44" i="7" s="1"/>
  <c r="AC322" i="7"/>
  <c r="AA147" i="7"/>
  <c r="AB165" i="7"/>
  <c r="AB205" i="7"/>
  <c r="AB219" i="7"/>
  <c r="AB222" i="7"/>
  <c r="AC278" i="7"/>
  <c r="AA192" i="7"/>
  <c r="AC194" i="7"/>
  <c r="AA283" i="7"/>
  <c r="AB162" i="7"/>
  <c r="AA186" i="7"/>
  <c r="AA188" i="7"/>
  <c r="AB195" i="7"/>
  <c r="AA127" i="7"/>
  <c r="AA294" i="7"/>
  <c r="AC178" i="7"/>
  <c r="AB178" i="7"/>
  <c r="AA178" i="7"/>
  <c r="AH185" i="7"/>
  <c r="AI185" i="7"/>
  <c r="AA232" i="7"/>
  <c r="AD176" i="7"/>
  <c r="AE176" i="7"/>
  <c r="AB180" i="7"/>
  <c r="AC180" i="7"/>
  <c r="AA180" i="7"/>
  <c r="AD135" i="7"/>
  <c r="AE135" i="7"/>
  <c r="AC187" i="7"/>
  <c r="AB187" i="7"/>
  <c r="AA187" i="7"/>
  <c r="AD132" i="7"/>
  <c r="AE132" i="7"/>
  <c r="AB171" i="7"/>
  <c r="AC171" i="7"/>
  <c r="AA171" i="7"/>
  <c r="AA256" i="7"/>
  <c r="AC256" i="7"/>
  <c r="AE256" i="7" s="1"/>
  <c r="AI256" i="7" s="1"/>
  <c r="AB153" i="7"/>
  <c r="AC153" i="7"/>
  <c r="AA153" i="7"/>
  <c r="AC298" i="7"/>
  <c r="AE298" i="7" s="1"/>
  <c r="AI298" i="7" s="1"/>
  <c r="AB298" i="7"/>
  <c r="AA298" i="7"/>
  <c r="AD130" i="7"/>
  <c r="AE130" i="7"/>
  <c r="AB141" i="7"/>
  <c r="AC141" i="7"/>
  <c r="AA141" i="7"/>
  <c r="AD142" i="7"/>
  <c r="AE142" i="7"/>
  <c r="AC144" i="7"/>
  <c r="AB144" i="7"/>
  <c r="AA144" i="7"/>
  <c r="AE167" i="7"/>
  <c r="AD167" i="7"/>
  <c r="AD169" i="7"/>
  <c r="AE169" i="7"/>
  <c r="AC242" i="7"/>
  <c r="AE242" i="7" s="1"/>
  <c r="AB242" i="7"/>
  <c r="AD151" i="7"/>
  <c r="AE151" i="7"/>
  <c r="AB304" i="7"/>
  <c r="AC304" i="7"/>
  <c r="AB148" i="7"/>
  <c r="AC148" i="7"/>
  <c r="AA148" i="7"/>
  <c r="AH149" i="7"/>
  <c r="AI149" i="7"/>
  <c r="AD139" i="7"/>
  <c r="AE139" i="7"/>
  <c r="AB198" i="7"/>
  <c r="AC198" i="7"/>
  <c r="AA198" i="7"/>
  <c r="AC136" i="7"/>
  <c r="AA136" i="7"/>
  <c r="AB136" i="7"/>
  <c r="AE158" i="7"/>
  <c r="AD158" i="7"/>
  <c r="AC162" i="7"/>
  <c r="AC296" i="7"/>
  <c r="AB177" i="7"/>
  <c r="AC177" i="7"/>
  <c r="AC195" i="7"/>
  <c r="AB200" i="7"/>
  <c r="AA200" i="7"/>
  <c r="AE221" i="7"/>
  <c r="AD221" i="7"/>
  <c r="AB227" i="7"/>
  <c r="AA227" i="7"/>
  <c r="AC227" i="7"/>
  <c r="AD32" i="7"/>
  <c r="AE32" i="7"/>
  <c r="AA105" i="7"/>
  <c r="AC105" i="7"/>
  <c r="AB105" i="7"/>
  <c r="AA139" i="7"/>
  <c r="AA151" i="7"/>
  <c r="AK184" i="7"/>
  <c r="AD185" i="7"/>
  <c r="AK193" i="7"/>
  <c r="AK202" i="7"/>
  <c r="AB204" i="7"/>
  <c r="AC204" i="7"/>
  <c r="AC211" i="7"/>
  <c r="AA211" i="7"/>
  <c r="AA212" i="7"/>
  <c r="AC212" i="7"/>
  <c r="AB212" i="7"/>
  <c r="AE223" i="7"/>
  <c r="AD223" i="7"/>
  <c r="AB225" i="7"/>
  <c r="AA225" i="7"/>
  <c r="AB139" i="7"/>
  <c r="AA149" i="7"/>
  <c r="AB151" i="7"/>
  <c r="AA166" i="7"/>
  <c r="AC186" i="7"/>
  <c r="AA195" i="7"/>
  <c r="AC200" i="7"/>
  <c r="AC101" i="7"/>
  <c r="AB101" i="7"/>
  <c r="AA101" i="7"/>
  <c r="AC166" i="7"/>
  <c r="AB192" i="7"/>
  <c r="AC192" i="7"/>
  <c r="AK227" i="7"/>
  <c r="AC54" i="7"/>
  <c r="AB54" i="7"/>
  <c r="AA54" i="7"/>
  <c r="AC72" i="7"/>
  <c r="AB72" i="7"/>
  <c r="AA72" i="7"/>
  <c r="AA238" i="7"/>
  <c r="AA130" i="7"/>
  <c r="AA132" i="7"/>
  <c r="AB201" i="7"/>
  <c r="AC201" i="7"/>
  <c r="AK210" i="7"/>
  <c r="AB213" i="7"/>
  <c r="AA213" i="7"/>
  <c r="AA52" i="7"/>
  <c r="AC52" i="7"/>
  <c r="AB70" i="7"/>
  <c r="AA70" i="7"/>
  <c r="AC70" i="7"/>
  <c r="AB130" i="7"/>
  <c r="AB132" i="7"/>
  <c r="AD149" i="7"/>
  <c r="AB189" i="7"/>
  <c r="AC189" i="7"/>
  <c r="AK199" i="7"/>
  <c r="AE205" i="7"/>
  <c r="AD205" i="7"/>
  <c r="AE213" i="7"/>
  <c r="AD213" i="7"/>
  <c r="AB214" i="7"/>
  <c r="AA214" i="7"/>
  <c r="AC265" i="7"/>
  <c r="AC271" i="7"/>
  <c r="AB284" i="7"/>
  <c r="AC302" i="7"/>
  <c r="AA324" i="7"/>
  <c r="S14" i="11"/>
  <c r="AC140" i="7"/>
  <c r="AK141" i="7"/>
  <c r="AE152" i="7"/>
  <c r="AE160" i="7"/>
  <c r="AA161" i="7"/>
  <c r="AA167" i="7"/>
  <c r="AB169" i="7"/>
  <c r="AA189" i="7"/>
  <c r="AA197" i="7"/>
  <c r="AK204" i="7"/>
  <c r="AK211" i="7"/>
  <c r="AC214" i="7"/>
  <c r="AB217" i="7"/>
  <c r="AA217" i="7"/>
  <c r="AB46" i="7"/>
  <c r="AA46" i="7"/>
  <c r="AC46" i="7"/>
  <c r="AB52" i="7"/>
  <c r="AB111" i="7"/>
  <c r="AC111" i="7"/>
  <c r="AA111" i="7"/>
  <c r="AC161" i="7"/>
  <c r="AB167" i="7"/>
  <c r="AA181" i="7"/>
  <c r="AA193" i="7"/>
  <c r="AC197" i="7"/>
  <c r="AA202" i="7"/>
  <c r="AK205" i="7"/>
  <c r="AB43" i="7"/>
  <c r="AA43" i="7"/>
  <c r="AC43" i="7"/>
  <c r="AB135" i="7"/>
  <c r="AC145" i="7"/>
  <c r="AA156" i="7"/>
  <c r="AA170" i="7"/>
  <c r="AA176" i="7"/>
  <c r="AC181" i="7"/>
  <c r="AC193" i="7"/>
  <c r="AC202" i="7"/>
  <c r="AA208" i="7"/>
  <c r="AC217" i="7"/>
  <c r="AA85" i="7"/>
  <c r="AB85" i="7"/>
  <c r="AC85" i="7"/>
  <c r="AC156" i="7"/>
  <c r="AC170" i="7"/>
  <c r="AB176" i="7"/>
  <c r="AA190" i="7"/>
  <c r="AC208" i="7"/>
  <c r="AB216" i="7"/>
  <c r="AC219" i="7"/>
  <c r="AA33" i="7"/>
  <c r="AC33" i="7"/>
  <c r="AB33" i="7"/>
  <c r="AB37" i="7"/>
  <c r="AA37" i="7"/>
  <c r="AC37" i="7"/>
  <c r="AB38" i="7"/>
  <c r="AA38" i="7"/>
  <c r="AH47" i="7"/>
  <c r="AI47" i="7"/>
  <c r="AK88" i="7"/>
  <c r="AC138" i="7"/>
  <c r="AA138" i="7"/>
  <c r="AC143" i="7"/>
  <c r="AA143" i="7"/>
  <c r="AC290" i="7"/>
  <c r="AE290" i="7" s="1"/>
  <c r="AI290" i="7" s="1"/>
  <c r="AC301" i="7"/>
  <c r="AC255" i="7"/>
  <c r="AA263" i="7"/>
  <c r="AA269" i="7"/>
  <c r="AA275" i="7"/>
  <c r="AB289" i="7"/>
  <c r="S10" i="11"/>
  <c r="AK137" i="7"/>
  <c r="AC190" i="7"/>
  <c r="AB220" i="7"/>
  <c r="AA220" i="7"/>
  <c r="AB32" i="7"/>
  <c r="AA32" i="7"/>
  <c r="AC35" i="7"/>
  <c r="AB35" i="7"/>
  <c r="AA35" i="7"/>
  <c r="AB58" i="7"/>
  <c r="AA58" i="7"/>
  <c r="AC58" i="7"/>
  <c r="AC78" i="7"/>
  <c r="AB78" i="7"/>
  <c r="AA78" i="7"/>
  <c r="AD82" i="7"/>
  <c r="AE82" i="7"/>
  <c r="S11" i="11"/>
  <c r="AC165" i="7"/>
  <c r="AB210" i="7"/>
  <c r="AC210" i="7"/>
  <c r="AK216" i="7"/>
  <c r="AE220" i="7"/>
  <c r="AD220" i="7"/>
  <c r="AA223" i="7"/>
  <c r="AC226" i="7"/>
  <c r="AB226" i="7"/>
  <c r="AA226" i="7"/>
  <c r="AC38" i="7"/>
  <c r="AK40" i="7"/>
  <c r="AA76" i="7"/>
  <c r="AB76" i="7"/>
  <c r="AC76" i="7"/>
  <c r="AC55" i="7"/>
  <c r="AA55" i="7"/>
  <c r="AC75" i="7"/>
  <c r="AB75" i="7"/>
  <c r="AA75" i="7"/>
  <c r="AB81" i="7"/>
  <c r="AC81" i="7"/>
  <c r="AA93" i="7"/>
  <c r="AC93" i="7"/>
  <c r="AB93" i="7"/>
  <c r="AA34" i="7"/>
  <c r="AB47" i="7"/>
  <c r="AA47" i="7"/>
  <c r="AB55" i="7"/>
  <c r="AA64" i="7"/>
  <c r="AK68" i="7"/>
  <c r="AC69" i="7"/>
  <c r="AA81" i="7"/>
  <c r="AD88" i="7"/>
  <c r="AB90" i="7"/>
  <c r="AA90" i="7"/>
  <c r="AC90" i="7"/>
  <c r="AA91" i="7"/>
  <c r="AC91" i="7"/>
  <c r="AB91" i="7"/>
  <c r="AB94" i="7"/>
  <c r="AA94" i="7"/>
  <c r="AC94" i="7"/>
  <c r="AA97" i="7"/>
  <c r="AB97" i="7"/>
  <c r="AC34" i="7"/>
  <c r="AI59" i="7"/>
  <c r="AG59" i="7" s="1"/>
  <c r="AC64" i="7"/>
  <c r="AC66" i="7"/>
  <c r="AA66" i="7"/>
  <c r="AC83" i="7"/>
  <c r="AB83" i="7"/>
  <c r="AA99" i="7"/>
  <c r="AC99" i="7"/>
  <c r="AB99" i="7"/>
  <c r="AB221" i="7"/>
  <c r="AB41" i="7"/>
  <c r="AA44" i="7"/>
  <c r="AB82" i="7"/>
  <c r="AA82" i="7"/>
  <c r="AI88" i="7"/>
  <c r="AG88" i="7" s="1"/>
  <c r="AK91" i="7"/>
  <c r="AE96" i="7"/>
  <c r="AC97" i="7"/>
  <c r="AC118" i="7"/>
  <c r="AB118" i="7"/>
  <c r="AA118" i="7"/>
  <c r="AC206" i="7"/>
  <c r="AB109" i="7"/>
  <c r="AA109" i="7"/>
  <c r="AB120" i="7"/>
  <c r="AC120" i="7"/>
  <c r="AA120" i="7"/>
  <c r="AB68" i="7"/>
  <c r="AA68" i="7"/>
  <c r="AC86" i="7"/>
  <c r="AB86" i="7"/>
  <c r="AB102" i="7"/>
  <c r="AA102" i="7"/>
  <c r="AC102" i="7"/>
  <c r="AB106" i="7"/>
  <c r="AA106" i="7"/>
  <c r="AC106" i="7"/>
  <c r="AB117" i="7"/>
  <c r="AC117" i="7"/>
  <c r="AA117" i="7"/>
  <c r="AA237" i="7"/>
  <c r="AB272" i="7"/>
  <c r="AC285" i="7"/>
  <c r="AC292" i="7"/>
  <c r="AD292" i="7" s="1"/>
  <c r="AC313" i="7"/>
  <c r="AB326" i="7"/>
  <c r="AI41" i="7"/>
  <c r="AG41" i="7" s="1"/>
  <c r="AG47" i="7"/>
  <c r="AC61" i="7"/>
  <c r="AK65" i="7"/>
  <c r="AB67" i="7"/>
  <c r="AK70" i="7"/>
  <c r="AE84" i="7"/>
  <c r="AC109" i="7"/>
  <c r="AD115" i="7"/>
  <c r="AE115" i="7"/>
  <c r="AK118" i="7"/>
  <c r="AB126" i="7"/>
  <c r="AA126" i="7"/>
  <c r="AC126" i="7"/>
  <c r="AC29" i="7"/>
  <c r="AB29" i="7"/>
  <c r="AA29" i="7"/>
  <c r="AI44" i="7"/>
  <c r="AG44" i="7" s="1"/>
  <c r="AA49" i="7"/>
  <c r="AC67" i="7"/>
  <c r="AC68" i="7"/>
  <c r="AA86" i="7"/>
  <c r="AA87" i="7"/>
  <c r="AC87" i="7"/>
  <c r="AK103" i="7"/>
  <c r="AK117" i="7"/>
  <c r="AC125" i="7"/>
  <c r="AB125" i="7"/>
  <c r="AA125" i="7"/>
  <c r="AC318" i="7"/>
  <c r="S9" i="11"/>
  <c r="AK32" i="7"/>
  <c r="AC49" i="7"/>
  <c r="AK66" i="7"/>
  <c r="AB73" i="7"/>
  <c r="AC73" i="7"/>
  <c r="AA79" i="7"/>
  <c r="AK100" i="7"/>
  <c r="AG100" i="7"/>
  <c r="AK115" i="7"/>
  <c r="AK129" i="7"/>
  <c r="AA40" i="7"/>
  <c r="AA59" i="7"/>
  <c r="AC79" i="7"/>
  <c r="AB87" i="7"/>
  <c r="AC92" i="7"/>
  <c r="AB92" i="7"/>
  <c r="AA92" i="7"/>
  <c r="AK127" i="7"/>
  <c r="AC40" i="7"/>
  <c r="AB59" i="7"/>
  <c r="AK61" i="7"/>
  <c r="AA124" i="7"/>
  <c r="AC124" i="7"/>
  <c r="AB124" i="7"/>
  <c r="AB129" i="7"/>
  <c r="AC129" i="7"/>
  <c r="AA129" i="7"/>
  <c r="AC98" i="7"/>
  <c r="AB98" i="7"/>
  <c r="AK111" i="7"/>
  <c r="AB123" i="7"/>
  <c r="AA123" i="7"/>
  <c r="AC31" i="7"/>
  <c r="AA31" i="7"/>
  <c r="AC30" i="7"/>
  <c r="AB30" i="7"/>
  <c r="AA30" i="7"/>
  <c r="AK77" i="7"/>
  <c r="AC123" i="7"/>
  <c r="AB31" i="7"/>
  <c r="AC95" i="7"/>
  <c r="AB95" i="7"/>
  <c r="AC107" i="7"/>
  <c r="AB107" i="7"/>
  <c r="AK85" i="7"/>
  <c r="AK97" i="7"/>
  <c r="AC104" i="7"/>
  <c r="AB104" i="7"/>
  <c r="AB103" i="7"/>
  <c r="AC127" i="7"/>
  <c r="AB127" i="7"/>
  <c r="AK29" i="7"/>
  <c r="AH28" i="7"/>
  <c r="AI28" i="7"/>
  <c r="AC103" i="7"/>
  <c r="AA104" i="7"/>
  <c r="AK124" i="7"/>
  <c r="AK82" i="7"/>
  <c r="AB84" i="7"/>
  <c r="AA84" i="7"/>
  <c r="AB88" i="7"/>
  <c r="AA88" i="7"/>
  <c r="AK94" i="7"/>
  <c r="AB96" i="7"/>
  <c r="AA96" i="7"/>
  <c r="AB100" i="7"/>
  <c r="AA100" i="7"/>
  <c r="AK106" i="7"/>
  <c r="AB108" i="7"/>
  <c r="AC108" i="7"/>
  <c r="AA108" i="7"/>
  <c r="AC112" i="7"/>
  <c r="AA112" i="7"/>
  <c r="AC119" i="7"/>
  <c r="AA119" i="7"/>
  <c r="AD28" i="7"/>
  <c r="AK126" i="7"/>
  <c r="S12" i="11"/>
  <c r="S13" i="11"/>
  <c r="S8" i="11"/>
  <c r="AK231" i="7"/>
  <c r="AI230" i="7"/>
  <c r="AA249" i="7"/>
  <c r="AH290" i="7"/>
  <c r="AD305" i="7"/>
  <c r="AE305" i="7"/>
  <c r="AI305" i="7" s="1"/>
  <c r="AC238" i="7"/>
  <c r="AD238" i="7" s="1"/>
  <c r="AA260" i="7"/>
  <c r="AC260" i="7"/>
  <c r="AB260" i="7"/>
  <c r="AD271" i="7"/>
  <c r="AE271" i="7"/>
  <c r="AI271" i="7" s="1"/>
  <c r="AC246" i="7"/>
  <c r="AA246" i="7"/>
  <c r="AC236" i="7"/>
  <c r="AD236" i="7" s="1"/>
  <c r="AB236" i="7"/>
  <c r="AE302" i="7"/>
  <c r="AI302" i="7" s="1"/>
  <c r="AD302" i="7"/>
  <c r="AC316" i="7"/>
  <c r="AB230" i="7"/>
  <c r="AC253" i="7"/>
  <c r="AA264" i="7"/>
  <c r="AA265" i="7"/>
  <c r="AA273" i="7"/>
  <c r="AC274" i="7"/>
  <c r="AB275" i="7"/>
  <c r="AC276" i="7"/>
  <c r="AC287" i="7"/>
  <c r="AD287" i="7" s="1"/>
  <c r="AC288" i="7"/>
  <c r="AC312" i="7"/>
  <c r="AB325" i="7"/>
  <c r="AH233" i="7"/>
  <c r="AG233" i="7" s="1"/>
  <c r="AA241" i="7"/>
  <c r="AA271" i="7"/>
  <c r="AC252" i="7"/>
  <c r="AB271" i="7"/>
  <c r="AC286" i="7"/>
  <c r="AB310" i="7"/>
  <c r="AB234" i="7"/>
  <c r="AB245" i="7"/>
  <c r="AA247" i="7"/>
  <c r="AC268" i="7"/>
  <c r="AC309" i="7"/>
  <c r="AB27" i="7"/>
  <c r="AA297" i="7"/>
  <c r="AC303" i="7"/>
  <c r="AA243" i="7"/>
  <c r="AC279" i="7"/>
  <c r="AC281" i="7"/>
  <c r="AE281" i="7" s="1"/>
  <c r="AI281" i="7" s="1"/>
  <c r="AB293" i="7"/>
  <c r="AC231" i="7"/>
  <c r="AC254" i="7"/>
  <c r="AA266" i="7"/>
  <c r="AB295" i="7"/>
  <c r="AC306" i="7"/>
  <c r="AC317" i="7"/>
  <c r="AE317" i="7" s="1"/>
  <c r="AI317" i="7" s="1"/>
  <c r="AA27" i="7"/>
  <c r="AC250" i="7"/>
  <c r="AA250" i="7"/>
  <c r="AB250" i="7"/>
  <c r="AC258" i="7"/>
  <c r="AB258" i="7"/>
  <c r="AA258" i="7"/>
  <c r="AE313" i="7"/>
  <c r="AI313" i="7" s="1"/>
  <c r="AD313" i="7"/>
  <c r="AC243" i="7"/>
  <c r="AB243" i="7"/>
  <c r="AG230" i="7"/>
  <c r="AC297" i="7"/>
  <c r="AB297" i="7"/>
  <c r="AB301" i="7"/>
  <c r="AB309" i="7"/>
  <c r="AA309" i="7"/>
  <c r="AB324" i="7"/>
  <c r="AC282" i="7"/>
  <c r="AB282" i="7"/>
  <c r="AA282" i="7"/>
  <c r="AC240" i="7"/>
  <c r="AB240" i="7"/>
  <c r="AA240" i="7"/>
  <c r="AC241" i="7"/>
  <c r="AB241" i="7"/>
  <c r="AC266" i="7"/>
  <c r="AB266" i="7"/>
  <c r="AA303" i="7"/>
  <c r="AE322" i="7"/>
  <c r="AI322" i="7" s="1"/>
  <c r="AD322" i="7"/>
  <c r="AD265" i="7"/>
  <c r="AE265" i="7"/>
  <c r="AI265" i="7" s="1"/>
  <c r="AE292" i="7"/>
  <c r="AI292" i="7" s="1"/>
  <c r="AB320" i="7"/>
  <c r="AA320" i="7"/>
  <c r="AC320" i="7"/>
  <c r="AC229" i="7"/>
  <c r="AB229" i="7"/>
  <c r="AA229" i="7"/>
  <c r="AD239" i="7"/>
  <c r="AE239" i="7"/>
  <c r="AI239" i="7" s="1"/>
  <c r="AE296" i="7"/>
  <c r="AI296" i="7" s="1"/>
  <c r="AD296" i="7"/>
  <c r="AA307" i="7"/>
  <c r="AC307" i="7"/>
  <c r="AB307" i="7"/>
  <c r="AC228" i="7"/>
  <c r="AB228" i="7"/>
  <c r="AA228" i="7"/>
  <c r="AA274" i="7"/>
  <c r="AB276" i="7"/>
  <c r="AE299" i="7"/>
  <c r="AI299" i="7" s="1"/>
  <c r="AD299" i="7"/>
  <c r="AC248" i="7"/>
  <c r="AB248" i="7"/>
  <c r="AA248" i="7"/>
  <c r="AE251" i="7"/>
  <c r="AI251" i="7" s="1"/>
  <c r="AD251" i="7"/>
  <c r="AC262" i="7"/>
  <c r="AA262" i="7"/>
  <c r="AB262" i="7"/>
  <c r="AA326" i="7"/>
  <c r="AC326" i="7"/>
  <c r="AA233" i="7"/>
  <c r="AB235" i="7"/>
  <c r="AD242" i="7"/>
  <c r="AK252" i="7"/>
  <c r="AD256" i="7"/>
  <c r="AE259" i="7"/>
  <c r="AI259" i="7" s="1"/>
  <c r="AK306" i="7"/>
  <c r="AA313" i="7"/>
  <c r="AD317" i="7"/>
  <c r="AB233" i="7"/>
  <c r="AC235" i="7"/>
  <c r="AK241" i="7"/>
  <c r="AA251" i="7"/>
  <c r="AB263" i="7"/>
  <c r="AK272" i="7"/>
  <c r="AB285" i="7"/>
  <c r="AB292" i="7"/>
  <c r="AB313" i="7"/>
  <c r="AK320" i="7"/>
  <c r="AB296" i="7"/>
  <c r="AA296" i="7"/>
  <c r="AK232" i="7"/>
  <c r="AD233" i="7"/>
  <c r="AB251" i="7"/>
  <c r="AC257" i="7"/>
  <c r="AB257" i="7"/>
  <c r="AC263" i="7"/>
  <c r="AK291" i="7"/>
  <c r="AK312" i="7"/>
  <c r="AA322" i="7"/>
  <c r="AB323" i="7"/>
  <c r="AA323" i="7"/>
  <c r="AC323" i="7"/>
  <c r="AA257" i="7"/>
  <c r="AC289" i="7"/>
  <c r="AK299" i="7"/>
  <c r="AB322" i="7"/>
  <c r="AB299" i="7"/>
  <c r="AA299" i="7"/>
  <c r="AK253" i="7"/>
  <c r="AC261" i="7"/>
  <c r="AB261" i="7"/>
  <c r="AA278" i="7"/>
  <c r="AB314" i="7"/>
  <c r="AA314" i="7"/>
  <c r="AC314" i="7"/>
  <c r="AC300" i="7"/>
  <c r="AA300" i="7"/>
  <c r="AB308" i="7"/>
  <c r="AA308" i="7"/>
  <c r="AC308" i="7"/>
  <c r="AA236" i="7"/>
  <c r="AK259" i="7"/>
  <c r="AK266" i="7"/>
  <c r="AB278" i="7"/>
  <c r="AB305" i="7"/>
  <c r="AA305" i="7"/>
  <c r="AB306" i="7"/>
  <c r="AA306" i="7"/>
  <c r="AB319" i="7"/>
  <c r="AA261" i="7"/>
  <c r="AK284" i="7"/>
  <c r="AB311" i="7"/>
  <c r="AA311" i="7"/>
  <c r="AC319" i="7"/>
  <c r="AA230" i="7"/>
  <c r="AK235" i="7"/>
  <c r="AB246" i="7"/>
  <c r="AK288" i="7"/>
  <c r="AB290" i="7"/>
  <c r="AA290" i="7"/>
  <c r="AC311" i="7"/>
  <c r="AC232" i="7"/>
  <c r="AA239" i="7"/>
  <c r="AK314" i="7"/>
  <c r="AD230" i="7"/>
  <c r="AB239" i="7"/>
  <c r="AB244" i="7"/>
  <c r="AB259" i="7"/>
  <c r="AA259" i="7"/>
  <c r="AK260" i="7"/>
  <c r="AB265" i="7"/>
  <c r="AB269" i="7"/>
  <c r="AK278" i="7"/>
  <c r="AB283" i="7"/>
  <c r="AD290" i="7"/>
  <c r="AK248" i="7"/>
  <c r="AC321" i="7"/>
  <c r="AB321" i="7"/>
  <c r="AA321" i="7"/>
  <c r="AK229" i="7"/>
  <c r="AA242" i="7"/>
  <c r="AC244" i="7"/>
  <c r="AB256" i="7"/>
  <c r="AC269" i="7"/>
  <c r="AC283" i="7"/>
  <c r="AK244" i="7"/>
  <c r="AK256" i="7"/>
  <c r="AK265" i="7"/>
  <c r="AK271" i="7"/>
  <c r="AK277" i="7"/>
  <c r="AA304" i="7"/>
  <c r="R45" i="4"/>
  <c r="D32" i="4"/>
  <c r="H116" i="5"/>
  <c r="D18" i="4"/>
  <c r="AB60" i="7" l="1"/>
  <c r="AA60" i="7"/>
  <c r="AC60" i="7"/>
  <c r="AG28" i="7"/>
  <c r="AD179" i="7"/>
  <c r="AE179" i="7"/>
  <c r="AB147" i="7"/>
  <c r="AC147" i="7"/>
  <c r="AA302" i="7"/>
  <c r="AA287" i="7"/>
  <c r="AA281" i="7"/>
  <c r="AA318" i="7"/>
  <c r="AB286" i="7"/>
  <c r="AH298" i="7"/>
  <c r="AG298" i="7" s="1"/>
  <c r="AB302" i="7"/>
  <c r="AB287" i="7"/>
  <c r="AB318" i="7"/>
  <c r="AH256" i="7"/>
  <c r="AG256" i="7" s="1"/>
  <c r="AA292" i="7"/>
  <c r="AA301" i="7"/>
  <c r="AB238" i="7"/>
  <c r="AC216" i="7"/>
  <c r="AE216" i="7" s="1"/>
  <c r="AB183" i="7"/>
  <c r="AA183" i="7"/>
  <c r="AC183" i="7"/>
  <c r="AD146" i="7"/>
  <c r="AE146" i="7"/>
  <c r="AA276" i="7"/>
  <c r="AA165" i="7"/>
  <c r="AC207" i="7"/>
  <c r="AD207" i="7" s="1"/>
  <c r="AG185" i="7"/>
  <c r="AA206" i="7"/>
  <c r="AB206" i="7"/>
  <c r="AA285" i="7"/>
  <c r="AE236" i="7"/>
  <c r="AI236" i="7" s="1"/>
  <c r="AB303" i="7"/>
  <c r="AC234" i="7"/>
  <c r="AC249" i="7"/>
  <c r="AC133" i="7"/>
  <c r="AD133" i="7" s="1"/>
  <c r="AA207" i="7"/>
  <c r="AA134" i="7"/>
  <c r="AC134" i="7"/>
  <c r="AB134" i="7"/>
  <c r="AI188" i="7"/>
  <c r="AH188" i="7"/>
  <c r="AG121" i="7"/>
  <c r="AA234" i="7"/>
  <c r="AA270" i="7"/>
  <c r="AA133" i="7"/>
  <c r="AB186" i="7"/>
  <c r="AA222" i="7"/>
  <c r="AB280" i="7"/>
  <c r="AB237" i="7"/>
  <c r="AC280" i="7"/>
  <c r="AD298" i="7"/>
  <c r="AB270" i="7"/>
  <c r="AC237" i="7"/>
  <c r="AC324" i="7"/>
  <c r="AE324" i="7" s="1"/>
  <c r="AI324" i="7" s="1"/>
  <c r="AA219" i="7"/>
  <c r="AC222" i="7"/>
  <c r="AA162" i="7"/>
  <c r="AC196" i="7"/>
  <c r="AA196" i="7"/>
  <c r="AB196" i="7"/>
  <c r="AB223" i="7"/>
  <c r="AB294" i="7"/>
  <c r="AE194" i="7"/>
  <c r="AD194" i="7"/>
  <c r="AB175" i="7"/>
  <c r="AC175" i="7"/>
  <c r="AA175" i="7"/>
  <c r="AB174" i="7"/>
  <c r="AA174" i="7"/>
  <c r="AC174" i="7"/>
  <c r="AA286" i="7"/>
  <c r="AE203" i="7"/>
  <c r="AD203" i="7"/>
  <c r="AC293" i="7"/>
  <c r="AA255" i="7"/>
  <c r="AC63" i="7"/>
  <c r="AB63" i="7"/>
  <c r="AA63" i="7"/>
  <c r="AD129" i="7"/>
  <c r="AE129" i="7"/>
  <c r="AD99" i="7"/>
  <c r="AE99" i="7"/>
  <c r="AB154" i="7"/>
  <c r="AC154" i="7"/>
  <c r="AA154" i="7"/>
  <c r="AD214" i="7"/>
  <c r="AE214" i="7"/>
  <c r="AC272" i="7"/>
  <c r="AE272" i="7" s="1"/>
  <c r="AI272" i="7" s="1"/>
  <c r="AA252" i="7"/>
  <c r="AB274" i="7"/>
  <c r="AB255" i="7"/>
  <c r="AD92" i="7"/>
  <c r="AE92" i="7"/>
  <c r="AE67" i="7"/>
  <c r="AD67" i="7"/>
  <c r="AA224" i="7"/>
  <c r="AC224" i="7"/>
  <c r="AB224" i="7"/>
  <c r="AD75" i="7"/>
  <c r="AE75" i="7"/>
  <c r="AE226" i="7"/>
  <c r="AD226" i="7"/>
  <c r="AE35" i="7"/>
  <c r="AD35" i="7"/>
  <c r="AC131" i="7"/>
  <c r="AB131" i="7"/>
  <c r="AA131" i="7"/>
  <c r="AE212" i="7"/>
  <c r="AD212" i="7"/>
  <c r="AD162" i="7"/>
  <c r="AE162" i="7"/>
  <c r="AD117" i="7"/>
  <c r="AE117" i="7"/>
  <c r="AB157" i="7"/>
  <c r="AC157" i="7"/>
  <c r="AA157" i="7"/>
  <c r="AE52" i="7"/>
  <c r="AD52" i="7"/>
  <c r="AE207" i="7"/>
  <c r="AC113" i="7"/>
  <c r="AB113" i="7"/>
  <c r="AA113" i="7"/>
  <c r="AC116" i="7"/>
  <c r="AB116" i="7"/>
  <c r="AA116" i="7"/>
  <c r="AA272" i="7"/>
  <c r="AC247" i="7"/>
  <c r="AA53" i="7"/>
  <c r="AB53" i="7"/>
  <c r="AC53" i="7"/>
  <c r="AE68" i="7"/>
  <c r="AD68" i="7"/>
  <c r="AD202" i="7"/>
  <c r="AE202" i="7"/>
  <c r="AH160" i="7"/>
  <c r="AI160" i="7"/>
  <c r="AD166" i="7"/>
  <c r="AE166" i="7"/>
  <c r="AE222" i="7"/>
  <c r="AD222" i="7"/>
  <c r="AB252" i="7"/>
  <c r="AA295" i="7"/>
  <c r="AC27" i="7"/>
  <c r="AE27" i="7" s="1"/>
  <c r="AI27" i="7" s="1"/>
  <c r="AB51" i="7"/>
  <c r="AC51" i="7"/>
  <c r="AA51" i="7"/>
  <c r="AE30" i="7"/>
  <c r="AD30" i="7"/>
  <c r="AH115" i="7"/>
  <c r="AI115" i="7"/>
  <c r="AC36" i="7"/>
  <c r="AA36" i="7"/>
  <c r="AB36" i="7"/>
  <c r="AE106" i="7"/>
  <c r="AD106" i="7"/>
  <c r="AA215" i="7"/>
  <c r="AB215" i="7"/>
  <c r="AC215" i="7"/>
  <c r="AE143" i="7"/>
  <c r="AD143" i="7"/>
  <c r="AD170" i="7"/>
  <c r="AE170" i="7"/>
  <c r="AD193" i="7"/>
  <c r="AE193" i="7"/>
  <c r="AD161" i="7"/>
  <c r="AE161" i="7"/>
  <c r="AI152" i="7"/>
  <c r="AH152" i="7"/>
  <c r="AD189" i="7"/>
  <c r="AE189" i="7"/>
  <c r="AH139" i="7"/>
  <c r="AI139" i="7"/>
  <c r="AD144" i="7"/>
  <c r="AE144" i="7"/>
  <c r="AB232" i="7"/>
  <c r="AA289" i="7"/>
  <c r="AC295" i="7"/>
  <c r="AC275" i="7"/>
  <c r="AC128" i="7"/>
  <c r="AA128" i="7"/>
  <c r="AB128" i="7"/>
  <c r="AE127" i="7"/>
  <c r="AD127" i="7"/>
  <c r="AE124" i="7"/>
  <c r="AD124" i="7"/>
  <c r="AD79" i="7"/>
  <c r="AE79" i="7"/>
  <c r="AE73" i="7"/>
  <c r="AD73" i="7"/>
  <c r="AA209" i="7"/>
  <c r="AB209" i="7"/>
  <c r="AC209" i="7"/>
  <c r="AD120" i="7"/>
  <c r="AE120" i="7"/>
  <c r="AE206" i="7"/>
  <c r="AD206" i="7"/>
  <c r="AE83" i="7"/>
  <c r="AD83" i="7"/>
  <c r="AE91" i="7"/>
  <c r="AD91" i="7"/>
  <c r="AH82" i="7"/>
  <c r="AI82" i="7"/>
  <c r="AE33" i="7"/>
  <c r="AD33" i="7"/>
  <c r="AD156" i="7"/>
  <c r="AE156" i="7"/>
  <c r="AB182" i="7"/>
  <c r="AC182" i="7"/>
  <c r="AA182" i="7"/>
  <c r="AD43" i="7"/>
  <c r="AE43" i="7"/>
  <c r="AD72" i="7"/>
  <c r="AE72" i="7"/>
  <c r="AD101" i="7"/>
  <c r="AE101" i="7"/>
  <c r="AH221" i="7"/>
  <c r="AI221" i="7"/>
  <c r="AH142" i="7"/>
  <c r="AI142" i="7"/>
  <c r="AD153" i="7"/>
  <c r="AE153" i="7"/>
  <c r="AD138" i="7"/>
  <c r="AE138" i="7"/>
  <c r="AE181" i="7"/>
  <c r="AD181" i="7"/>
  <c r="AD111" i="7"/>
  <c r="AE111" i="7"/>
  <c r="AB150" i="7"/>
  <c r="AC150" i="7"/>
  <c r="AA150" i="7"/>
  <c r="AE211" i="7"/>
  <c r="AD211" i="7"/>
  <c r="AH151" i="7"/>
  <c r="AI151" i="7"/>
  <c r="AD187" i="7"/>
  <c r="AE187" i="7"/>
  <c r="AC122" i="7"/>
  <c r="AA122" i="7"/>
  <c r="AB122" i="7"/>
  <c r="AE31" i="7"/>
  <c r="AD31" i="7"/>
  <c r="AD125" i="7"/>
  <c r="AE125" i="7"/>
  <c r="AH125" i="7" s="1"/>
  <c r="AA325" i="7"/>
  <c r="AC89" i="7"/>
  <c r="AB89" i="7"/>
  <c r="AA89" i="7"/>
  <c r="AI84" i="7"/>
  <c r="AH84" i="7"/>
  <c r="AD102" i="7"/>
  <c r="AE102" i="7"/>
  <c r="AC110" i="7"/>
  <c r="AA110" i="7"/>
  <c r="AB110" i="7"/>
  <c r="AC57" i="7"/>
  <c r="AB57" i="7"/>
  <c r="AA57" i="7"/>
  <c r="AD66" i="7"/>
  <c r="AE66" i="7"/>
  <c r="AD90" i="7"/>
  <c r="AE90" i="7"/>
  <c r="AE76" i="7"/>
  <c r="AD76" i="7"/>
  <c r="AI220" i="7"/>
  <c r="AH220" i="7"/>
  <c r="AG220" i="7" s="1"/>
  <c r="AE85" i="7"/>
  <c r="AD85" i="7"/>
  <c r="AD200" i="7"/>
  <c r="AE200" i="7"/>
  <c r="AE204" i="7"/>
  <c r="AD204" i="7"/>
  <c r="AD105" i="7"/>
  <c r="AE105" i="7"/>
  <c r="AH158" i="7"/>
  <c r="AI158" i="7"/>
  <c r="AI135" i="7"/>
  <c r="AH135" i="7"/>
  <c r="AG135" i="7" s="1"/>
  <c r="AB253" i="7"/>
  <c r="AE119" i="7"/>
  <c r="AD119" i="7"/>
  <c r="AB254" i="7"/>
  <c r="AA253" i="7"/>
  <c r="AC284" i="7"/>
  <c r="AD281" i="7"/>
  <c r="AA74" i="7"/>
  <c r="AB74" i="7"/>
  <c r="AC74" i="7"/>
  <c r="AE103" i="7"/>
  <c r="AD103" i="7"/>
  <c r="AE95" i="7"/>
  <c r="AD95" i="7"/>
  <c r="AA50" i="7"/>
  <c r="AB50" i="7"/>
  <c r="AC50" i="7"/>
  <c r="AE118" i="7"/>
  <c r="AD118" i="7"/>
  <c r="AA48" i="7"/>
  <c r="AC48" i="7"/>
  <c r="AB48" i="7"/>
  <c r="AE64" i="7"/>
  <c r="AD64" i="7"/>
  <c r="AB191" i="7"/>
  <c r="AC191" i="7"/>
  <c r="AA191" i="7"/>
  <c r="AE219" i="7"/>
  <c r="AD219" i="7"/>
  <c r="AD201" i="7"/>
  <c r="AE201" i="7"/>
  <c r="AD54" i="7"/>
  <c r="AE54" i="7"/>
  <c r="AD195" i="7"/>
  <c r="AE195" i="7"/>
  <c r="AG149" i="7"/>
  <c r="AD141" i="7"/>
  <c r="AE141" i="7"/>
  <c r="AE107" i="7"/>
  <c r="AD107" i="7"/>
  <c r="AD55" i="7"/>
  <c r="AE55" i="7"/>
  <c r="AC325" i="7"/>
  <c r="AD325" i="7" s="1"/>
  <c r="AA284" i="7"/>
  <c r="AA62" i="7"/>
  <c r="AC62" i="7"/>
  <c r="AB62" i="7"/>
  <c r="AB56" i="7"/>
  <c r="AC56" i="7"/>
  <c r="AA56" i="7"/>
  <c r="AD49" i="7"/>
  <c r="AE49" i="7"/>
  <c r="AB114" i="7"/>
  <c r="AA114" i="7"/>
  <c r="AC114" i="7"/>
  <c r="AD93" i="7"/>
  <c r="AE93" i="7"/>
  <c r="AD78" i="7"/>
  <c r="AE78" i="7"/>
  <c r="AD190" i="7"/>
  <c r="AE190" i="7"/>
  <c r="AD46" i="7"/>
  <c r="AE46" i="7"/>
  <c r="AD140" i="7"/>
  <c r="AE140" i="7"/>
  <c r="AD186" i="7"/>
  <c r="AE186" i="7"/>
  <c r="AE225" i="7"/>
  <c r="AD225" i="7"/>
  <c r="AH32" i="7"/>
  <c r="AI32" i="7"/>
  <c r="AH242" i="7"/>
  <c r="AI242" i="7"/>
  <c r="AE109" i="7"/>
  <c r="AD109" i="7"/>
  <c r="AB317" i="7"/>
  <c r="AD112" i="7"/>
  <c r="AE112" i="7"/>
  <c r="AB80" i="7"/>
  <c r="AC80" i="7"/>
  <c r="AA80" i="7"/>
  <c r="AD123" i="7"/>
  <c r="AE123" i="7"/>
  <c r="AD40" i="7"/>
  <c r="AE40" i="7"/>
  <c r="AD29" i="7"/>
  <c r="AE29" i="7"/>
  <c r="AE97" i="7"/>
  <c r="AD97" i="7"/>
  <c r="AD34" i="7"/>
  <c r="AE34" i="7"/>
  <c r="AE210" i="7"/>
  <c r="AD210" i="7"/>
  <c r="AD58" i="7"/>
  <c r="AE58" i="7"/>
  <c r="AB173" i="7"/>
  <c r="AC173" i="7"/>
  <c r="AA173" i="7"/>
  <c r="AI213" i="7"/>
  <c r="AH213" i="7"/>
  <c r="AG213" i="7" s="1"/>
  <c r="AB184" i="7"/>
  <c r="AC184" i="7"/>
  <c r="AA184" i="7"/>
  <c r="AD177" i="7"/>
  <c r="AE177" i="7"/>
  <c r="AD148" i="7"/>
  <c r="AE148" i="7"/>
  <c r="AH169" i="7"/>
  <c r="AI169" i="7"/>
  <c r="AH130" i="7"/>
  <c r="AI130" i="7"/>
  <c r="AD178" i="7"/>
  <c r="AE178" i="7"/>
  <c r="AC42" i="7"/>
  <c r="AB42" i="7"/>
  <c r="AA42" i="7"/>
  <c r="AD87" i="7"/>
  <c r="AE87" i="7"/>
  <c r="AD126" i="7"/>
  <c r="AE126" i="7"/>
  <c r="AD86" i="7"/>
  <c r="AE86" i="7"/>
  <c r="AI96" i="7"/>
  <c r="AH96" i="7"/>
  <c r="AG96" i="7" s="1"/>
  <c r="AD81" i="7"/>
  <c r="AE81" i="7"/>
  <c r="AD216" i="7"/>
  <c r="AB159" i="7"/>
  <c r="AC159" i="7"/>
  <c r="AA159" i="7"/>
  <c r="AD197" i="7"/>
  <c r="AE197" i="7"/>
  <c r="AE70" i="7"/>
  <c r="AD70" i="7"/>
  <c r="AB164" i="7"/>
  <c r="AC164" i="7"/>
  <c r="AA164" i="7"/>
  <c r="AD192" i="7"/>
  <c r="AE192" i="7"/>
  <c r="AD227" i="7"/>
  <c r="AE227" i="7"/>
  <c r="AE136" i="7"/>
  <c r="AD136" i="7"/>
  <c r="AD171" i="7"/>
  <c r="AE171" i="7"/>
  <c r="AD180" i="7"/>
  <c r="AE180" i="7"/>
  <c r="AC245" i="7"/>
  <c r="AD245" i="7" s="1"/>
  <c r="AB77" i="7"/>
  <c r="AA77" i="7"/>
  <c r="AC77" i="7"/>
  <c r="AD108" i="7"/>
  <c r="AE108" i="7"/>
  <c r="AB71" i="7"/>
  <c r="AA71" i="7"/>
  <c r="AC71" i="7"/>
  <c r="AD98" i="7"/>
  <c r="AE98" i="7"/>
  <c r="AA218" i="7"/>
  <c r="AB218" i="7"/>
  <c r="AC218" i="7"/>
  <c r="AC45" i="7"/>
  <c r="AA45" i="7"/>
  <c r="AB45" i="7"/>
  <c r="AD69" i="7"/>
  <c r="AE69" i="7"/>
  <c r="AE38" i="7"/>
  <c r="AD38" i="7"/>
  <c r="AB199" i="7"/>
  <c r="AC199" i="7"/>
  <c r="AA199" i="7"/>
  <c r="AB168" i="7"/>
  <c r="AC168" i="7"/>
  <c r="AA168" i="7"/>
  <c r="AD217" i="7"/>
  <c r="AE217" i="7"/>
  <c r="AI205" i="7"/>
  <c r="AH205" i="7"/>
  <c r="AI223" i="7"/>
  <c r="AH223" i="7"/>
  <c r="AG223" i="7" s="1"/>
  <c r="AD304" i="7"/>
  <c r="AE304" i="7"/>
  <c r="AB65" i="7"/>
  <c r="AA65" i="7"/>
  <c r="AC65" i="7"/>
  <c r="AD104" i="7"/>
  <c r="AE104" i="7"/>
  <c r="AC137" i="7"/>
  <c r="AB137" i="7"/>
  <c r="AA137" i="7"/>
  <c r="AE61" i="7"/>
  <c r="AD61" i="7"/>
  <c r="AA39" i="7"/>
  <c r="AC39" i="7"/>
  <c r="AB39" i="7"/>
  <c r="AE94" i="7"/>
  <c r="AD94" i="7"/>
  <c r="AD165" i="7"/>
  <c r="AE165" i="7"/>
  <c r="AD37" i="7"/>
  <c r="AE37" i="7"/>
  <c r="AD208" i="7"/>
  <c r="AE208" i="7"/>
  <c r="AE145" i="7"/>
  <c r="AD145" i="7"/>
  <c r="AB172" i="7"/>
  <c r="AC172" i="7"/>
  <c r="AA172" i="7"/>
  <c r="AB155" i="7"/>
  <c r="AC155" i="7"/>
  <c r="AA155" i="7"/>
  <c r="AB163" i="7"/>
  <c r="AC163" i="7"/>
  <c r="AA163" i="7"/>
  <c r="AD198" i="7"/>
  <c r="AE198" i="7"/>
  <c r="AH167" i="7"/>
  <c r="AI167" i="7"/>
  <c r="AH132" i="7"/>
  <c r="AI132" i="7"/>
  <c r="AH176" i="7"/>
  <c r="AI176" i="7"/>
  <c r="AE294" i="7"/>
  <c r="AD294" i="7"/>
  <c r="AH281" i="7"/>
  <c r="AH265" i="7"/>
  <c r="AG265" i="7" s="1"/>
  <c r="AE260" i="7"/>
  <c r="AI260" i="7" s="1"/>
  <c r="AD260" i="7"/>
  <c r="AH259" i="7"/>
  <c r="AH292" i="7"/>
  <c r="AG292" i="7" s="1"/>
  <c r="AH239" i="7"/>
  <c r="AA293" i="7"/>
  <c r="AH322" i="7"/>
  <c r="AG322" i="7" s="1"/>
  <c r="AA316" i="7"/>
  <c r="AB281" i="7"/>
  <c r="AE279" i="7"/>
  <c r="AI279" i="7" s="1"/>
  <c r="AD279" i="7"/>
  <c r="AA310" i="7"/>
  <c r="AA231" i="7"/>
  <c r="AB316" i="7"/>
  <c r="AH302" i="7"/>
  <c r="AA254" i="7"/>
  <c r="AH305" i="7"/>
  <c r="AA279" i="7"/>
  <c r="AC310" i="7"/>
  <c r="AD310" i="7" s="1"/>
  <c r="AH236" i="7"/>
  <c r="AG236" i="7" s="1"/>
  <c r="AB264" i="7"/>
  <c r="AH296" i="7"/>
  <c r="AG296" i="7" s="1"/>
  <c r="AH317" i="7"/>
  <c r="AG317" i="7" s="1"/>
  <c r="AC264" i="7"/>
  <c r="AA268" i="7"/>
  <c r="AH313" i="7"/>
  <c r="AC315" i="7"/>
  <c r="AA315" i="7"/>
  <c r="AB315" i="7"/>
  <c r="AB247" i="7"/>
  <c r="AB279" i="7"/>
  <c r="AE287" i="7"/>
  <c r="AI287" i="7" s="1"/>
  <c r="AA288" i="7"/>
  <c r="AB268" i="7"/>
  <c r="AA312" i="7"/>
  <c r="AE246" i="7"/>
  <c r="AI246" i="7" s="1"/>
  <c r="AD246" i="7"/>
  <c r="AH251" i="7"/>
  <c r="AG251" i="7" s="1"/>
  <c r="AB231" i="7"/>
  <c r="AD275" i="7"/>
  <c r="AE275" i="7"/>
  <c r="AI275" i="7" s="1"/>
  <c r="AB288" i="7"/>
  <c r="AH299" i="7"/>
  <c r="AG299" i="7" s="1"/>
  <c r="AB312" i="7"/>
  <c r="AA245" i="7"/>
  <c r="AC273" i="7"/>
  <c r="AB273" i="7"/>
  <c r="AH271" i="7"/>
  <c r="AG271" i="7" s="1"/>
  <c r="AA317" i="7"/>
  <c r="AE238" i="7"/>
  <c r="AI238" i="7" s="1"/>
  <c r="AE249" i="7"/>
  <c r="AI249" i="7" s="1"/>
  <c r="AD249" i="7"/>
  <c r="AD27" i="7"/>
  <c r="AD247" i="7"/>
  <c r="AE247" i="7"/>
  <c r="AI247" i="7" s="1"/>
  <c r="AD311" i="7"/>
  <c r="AE311" i="7"/>
  <c r="AI311" i="7" s="1"/>
  <c r="AE254" i="7"/>
  <c r="AI254" i="7" s="1"/>
  <c r="AD254" i="7"/>
  <c r="AE318" i="7"/>
  <c r="AI318" i="7" s="1"/>
  <c r="AD318" i="7"/>
  <c r="AE301" i="7"/>
  <c r="AI301" i="7" s="1"/>
  <c r="AD301" i="7"/>
  <c r="AD283" i="7"/>
  <c r="AE283" i="7"/>
  <c r="AI283" i="7" s="1"/>
  <c r="AE244" i="7"/>
  <c r="AI244" i="7" s="1"/>
  <c r="AD244" i="7"/>
  <c r="AE278" i="7"/>
  <c r="AI278" i="7" s="1"/>
  <c r="AD278" i="7"/>
  <c r="AD235" i="7"/>
  <c r="AE235" i="7"/>
  <c r="AI235" i="7" s="1"/>
  <c r="AE264" i="7"/>
  <c r="AI264" i="7" s="1"/>
  <c r="AD264" i="7"/>
  <c r="AE307" i="7"/>
  <c r="AI307" i="7" s="1"/>
  <c r="AD307" i="7"/>
  <c r="AD268" i="7"/>
  <c r="AE268" i="7"/>
  <c r="AI268" i="7" s="1"/>
  <c r="AE232" i="7"/>
  <c r="AI232" i="7" s="1"/>
  <c r="AD232" i="7"/>
  <c r="AE262" i="7"/>
  <c r="AI262" i="7" s="1"/>
  <c r="AD262" i="7"/>
  <c r="AE240" i="7"/>
  <c r="AI240" i="7" s="1"/>
  <c r="AD240" i="7"/>
  <c r="AE293" i="7"/>
  <c r="AI293" i="7" s="1"/>
  <c r="AD293" i="7"/>
  <c r="AC267" i="7"/>
  <c r="AB267" i="7"/>
  <c r="AA267" i="7"/>
  <c r="AE288" i="7"/>
  <c r="AI288" i="7" s="1"/>
  <c r="AD288" i="7"/>
  <c r="AD324" i="7"/>
  <c r="AE297" i="7"/>
  <c r="AI297" i="7" s="1"/>
  <c r="AD297" i="7"/>
  <c r="AE250" i="7"/>
  <c r="AI250" i="7" s="1"/>
  <c r="AD250" i="7"/>
  <c r="AD280" i="7"/>
  <c r="AE280" i="7"/>
  <c r="AI280" i="7" s="1"/>
  <c r="AE237" i="7"/>
  <c r="AI237" i="7" s="1"/>
  <c r="AD237" i="7"/>
  <c r="AC277" i="7"/>
  <c r="AB277" i="7"/>
  <c r="AA277" i="7"/>
  <c r="AE306" i="7"/>
  <c r="AI306" i="7" s="1"/>
  <c r="AD306" i="7"/>
  <c r="AE282" i="7"/>
  <c r="AI282" i="7" s="1"/>
  <c r="AD282" i="7"/>
  <c r="AE270" i="7"/>
  <c r="AI270" i="7" s="1"/>
  <c r="AD270" i="7"/>
  <c r="AE243" i="7"/>
  <c r="AI243" i="7" s="1"/>
  <c r="AD243" i="7"/>
  <c r="AE319" i="7"/>
  <c r="AI319" i="7" s="1"/>
  <c r="AD319" i="7"/>
  <c r="AE320" i="7"/>
  <c r="AI320" i="7" s="1"/>
  <c r="AD320" i="7"/>
  <c r="AC291" i="7"/>
  <c r="AB291" i="7"/>
  <c r="AA291" i="7"/>
  <c r="AE284" i="7"/>
  <c r="AI284" i="7" s="1"/>
  <c r="AD284" i="7"/>
  <c r="AG281" i="7"/>
  <c r="AE229" i="7"/>
  <c r="AI229" i="7" s="1"/>
  <c r="AD229" i="7"/>
  <c r="AE285" i="7"/>
  <c r="AI285" i="7" s="1"/>
  <c r="AD285" i="7"/>
  <c r="AE303" i="7"/>
  <c r="AI303" i="7" s="1"/>
  <c r="AD303" i="7"/>
  <c r="AE308" i="7"/>
  <c r="AI308" i="7" s="1"/>
  <c r="AD308" i="7"/>
  <c r="AE314" i="7"/>
  <c r="AI314" i="7" s="1"/>
  <c r="AD314" i="7"/>
  <c r="AE248" i="7"/>
  <c r="AI248" i="7" s="1"/>
  <c r="AD248" i="7"/>
  <c r="AE276" i="7"/>
  <c r="AI276" i="7" s="1"/>
  <c r="AD276" i="7"/>
  <c r="AD228" i="7"/>
  <c r="AE228" i="7"/>
  <c r="AI228" i="7" s="1"/>
  <c r="AE295" i="7"/>
  <c r="AI295" i="7" s="1"/>
  <c r="AD295" i="7"/>
  <c r="AE266" i="7"/>
  <c r="AI266" i="7" s="1"/>
  <c r="AD266" i="7"/>
  <c r="AE269" i="7"/>
  <c r="AI269" i="7" s="1"/>
  <c r="AD269" i="7"/>
  <c r="AE321" i="7"/>
  <c r="AI321" i="7" s="1"/>
  <c r="AD321" i="7"/>
  <c r="AE263" i="7"/>
  <c r="AI263" i="7" s="1"/>
  <c r="AD263" i="7"/>
  <c r="AE286" i="7"/>
  <c r="AI286" i="7" s="1"/>
  <c r="AD286" i="7"/>
  <c r="AD323" i="7"/>
  <c r="AE323" i="7"/>
  <c r="AI323" i="7" s="1"/>
  <c r="AE326" i="7"/>
  <c r="AI326" i="7" s="1"/>
  <c r="AD326" i="7"/>
  <c r="AD252" i="7"/>
  <c r="AE252" i="7"/>
  <c r="AI252" i="7" s="1"/>
  <c r="AE253" i="7"/>
  <c r="AI253" i="7" s="1"/>
  <c r="AD253" i="7"/>
  <c r="AE309" i="7"/>
  <c r="AI309" i="7" s="1"/>
  <c r="AD309" i="7"/>
  <c r="AD257" i="7"/>
  <c r="AE257" i="7"/>
  <c r="AI257" i="7" s="1"/>
  <c r="AD274" i="7"/>
  <c r="AE274" i="7"/>
  <c r="AI274" i="7" s="1"/>
  <c r="AE255" i="7"/>
  <c r="AI255" i="7" s="1"/>
  <c r="AD255" i="7"/>
  <c r="AE231" i="7"/>
  <c r="AI231" i="7" s="1"/>
  <c r="AD231" i="7"/>
  <c r="AE261" i="7"/>
  <c r="AI261" i="7" s="1"/>
  <c r="AD261" i="7"/>
  <c r="AE312" i="7"/>
  <c r="AI312" i="7" s="1"/>
  <c r="AD312" i="7"/>
  <c r="AE300" i="7"/>
  <c r="AI300" i="7" s="1"/>
  <c r="AD300" i="7"/>
  <c r="AE289" i="7"/>
  <c r="AI289" i="7" s="1"/>
  <c r="AD289" i="7"/>
  <c r="AG290" i="7"/>
  <c r="AE241" i="7"/>
  <c r="AI241" i="7" s="1"/>
  <c r="AD241" i="7"/>
  <c r="AE316" i="7"/>
  <c r="AI316" i="7" s="1"/>
  <c r="AD316" i="7"/>
  <c r="AE258" i="7"/>
  <c r="AI258" i="7" s="1"/>
  <c r="AD258" i="7"/>
  <c r="AD234" i="7"/>
  <c r="AE234" i="7"/>
  <c r="AI234" i="7" s="1"/>
  <c r="K13" i="2"/>
  <c r="K14" i="2"/>
  <c r="K15" i="2"/>
  <c r="K16" i="2"/>
  <c r="K17" i="2"/>
  <c r="K18" i="2"/>
  <c r="K19" i="2"/>
  <c r="K20" i="2"/>
  <c r="K21" i="2"/>
  <c r="K22" i="2"/>
  <c r="K23" i="2"/>
  <c r="D17" i="4"/>
  <c r="Q23" i="4"/>
  <c r="Q46" i="4" s="1"/>
  <c r="P23" i="4"/>
  <c r="P46" i="4" s="1"/>
  <c r="O23" i="4"/>
  <c r="O46" i="4" s="1"/>
  <c r="N23" i="4"/>
  <c r="N46" i="4" s="1"/>
  <c r="M23" i="4"/>
  <c r="M46" i="4" s="1"/>
  <c r="AC26" i="7"/>
  <c r="AC25" i="7"/>
  <c r="AE25" i="7" s="1"/>
  <c r="AI25" i="7" s="1"/>
  <c r="AD60" i="7" l="1"/>
  <c r="AE60" i="7"/>
  <c r="AG115" i="7"/>
  <c r="AG176" i="7"/>
  <c r="AG132" i="7"/>
  <c r="AG167" i="7"/>
  <c r="AG130" i="7"/>
  <c r="AG139" i="7"/>
  <c r="AG160" i="7"/>
  <c r="AD147" i="7"/>
  <c r="AE147" i="7"/>
  <c r="AH179" i="7"/>
  <c r="AI179" i="7"/>
  <c r="AG179" i="7" s="1"/>
  <c r="AD134" i="7"/>
  <c r="AE134" i="7"/>
  <c r="AH194" i="7"/>
  <c r="AI194" i="7"/>
  <c r="AG205" i="7"/>
  <c r="AE133" i="7"/>
  <c r="AH133" i="7" s="1"/>
  <c r="AG152" i="7"/>
  <c r="AG84" i="7"/>
  <c r="AH203" i="7"/>
  <c r="AI203" i="7"/>
  <c r="AH146" i="7"/>
  <c r="AI146" i="7"/>
  <c r="AG32" i="7"/>
  <c r="AG82" i="7"/>
  <c r="AD174" i="7"/>
  <c r="AE174" i="7"/>
  <c r="AD196" i="7"/>
  <c r="AE196" i="7"/>
  <c r="AD183" i="7"/>
  <c r="AE183" i="7"/>
  <c r="AD272" i="7"/>
  <c r="AG151" i="7"/>
  <c r="AE325" i="7"/>
  <c r="AI325" i="7" s="1"/>
  <c r="AH27" i="7"/>
  <c r="AG27" i="7" s="1"/>
  <c r="AD175" i="7"/>
  <c r="AE175" i="7"/>
  <c r="AG188" i="7"/>
  <c r="AH198" i="7"/>
  <c r="AI198" i="7"/>
  <c r="AE71" i="7"/>
  <c r="AD71" i="7"/>
  <c r="AE110" i="7"/>
  <c r="AD110" i="7"/>
  <c r="AI208" i="7"/>
  <c r="AH208" i="7"/>
  <c r="AH38" i="7"/>
  <c r="AI38" i="7"/>
  <c r="AG169" i="7"/>
  <c r="AI111" i="7"/>
  <c r="AH111" i="7"/>
  <c r="AG111" i="7" s="1"/>
  <c r="AI69" i="7"/>
  <c r="AH69" i="7"/>
  <c r="AH136" i="7"/>
  <c r="AI136" i="7"/>
  <c r="AH58" i="7"/>
  <c r="AI58" i="7"/>
  <c r="AE50" i="7"/>
  <c r="AD50" i="7"/>
  <c r="AE113" i="7"/>
  <c r="AD113" i="7"/>
  <c r="AE245" i="7"/>
  <c r="AI245" i="7" s="1"/>
  <c r="AE310" i="7"/>
  <c r="AI310" i="7" s="1"/>
  <c r="AE163" i="7"/>
  <c r="AD163" i="7"/>
  <c r="AI37" i="7"/>
  <c r="AH37" i="7"/>
  <c r="AI108" i="7"/>
  <c r="AH108" i="7"/>
  <c r="AH227" i="7"/>
  <c r="AI227" i="7"/>
  <c r="AD159" i="7"/>
  <c r="AE159" i="7"/>
  <c r="AI87" i="7"/>
  <c r="AH87" i="7"/>
  <c r="AG87" i="7" s="1"/>
  <c r="AG242" i="7"/>
  <c r="AI141" i="7"/>
  <c r="AH141" i="7"/>
  <c r="AI219" i="7"/>
  <c r="AH219" i="7"/>
  <c r="AG219" i="7" s="1"/>
  <c r="AH200" i="7"/>
  <c r="AI200" i="7"/>
  <c r="AI90" i="7"/>
  <c r="AH90" i="7"/>
  <c r="AE122" i="7"/>
  <c r="AD122" i="7"/>
  <c r="AH72" i="7"/>
  <c r="AI72" i="7"/>
  <c r="AD128" i="7"/>
  <c r="AE128" i="7"/>
  <c r="AI68" i="7"/>
  <c r="AH68" i="7"/>
  <c r="AG68" i="7" s="1"/>
  <c r="AI212" i="7"/>
  <c r="AH212" i="7"/>
  <c r="AE154" i="7"/>
  <c r="AD154" i="7"/>
  <c r="AH145" i="7"/>
  <c r="AI145" i="7"/>
  <c r="AI197" i="7"/>
  <c r="AH197" i="7"/>
  <c r="AI40" i="7"/>
  <c r="AH40" i="7"/>
  <c r="AH31" i="7"/>
  <c r="AI31" i="7"/>
  <c r="AH126" i="7"/>
  <c r="AI126" i="7"/>
  <c r="AH109" i="7"/>
  <c r="AI109" i="7"/>
  <c r="AH118" i="7"/>
  <c r="AI118" i="7"/>
  <c r="AI102" i="7"/>
  <c r="AH102" i="7"/>
  <c r="AI101" i="7"/>
  <c r="AH101" i="7"/>
  <c r="AI33" i="7"/>
  <c r="AH33" i="7"/>
  <c r="AG33" i="7" s="1"/>
  <c r="AD51" i="7"/>
  <c r="AE51" i="7"/>
  <c r="AH148" i="7"/>
  <c r="AI148" i="7"/>
  <c r="AI123" i="7"/>
  <c r="AH123" i="7"/>
  <c r="AI46" i="7"/>
  <c r="AH46" i="7"/>
  <c r="AI107" i="7"/>
  <c r="AH107" i="7"/>
  <c r="AI204" i="7"/>
  <c r="AH204" i="7"/>
  <c r="AG204" i="7" s="1"/>
  <c r="AH76" i="7"/>
  <c r="AI76" i="7"/>
  <c r="AD209" i="7"/>
  <c r="AE209" i="7"/>
  <c r="AD224" i="7"/>
  <c r="AE224" i="7"/>
  <c r="AE137" i="7"/>
  <c r="AD137" i="7"/>
  <c r="AI217" i="7"/>
  <c r="AH217" i="7"/>
  <c r="AG217" i="7" s="1"/>
  <c r="AI177" i="7"/>
  <c r="AH177" i="7"/>
  <c r="AH190" i="7"/>
  <c r="AI190" i="7"/>
  <c r="AE56" i="7"/>
  <c r="AD56" i="7"/>
  <c r="AH187" i="7"/>
  <c r="AI187" i="7"/>
  <c r="AH181" i="7"/>
  <c r="AI181" i="7"/>
  <c r="AH161" i="7"/>
  <c r="AI161" i="7"/>
  <c r="AH106" i="7"/>
  <c r="AI106" i="7"/>
  <c r="AE53" i="7"/>
  <c r="AD53" i="7"/>
  <c r="AH207" i="7"/>
  <c r="AI207" i="7"/>
  <c r="AD173" i="7"/>
  <c r="AE173" i="7"/>
  <c r="AH61" i="7"/>
  <c r="AI61" i="7"/>
  <c r="AH49" i="7"/>
  <c r="AI49" i="7"/>
  <c r="AI294" i="7"/>
  <c r="AH294" i="7"/>
  <c r="AH165" i="7"/>
  <c r="AI165" i="7"/>
  <c r="AI104" i="7"/>
  <c r="AH104" i="7"/>
  <c r="AD77" i="7"/>
  <c r="AE77" i="7"/>
  <c r="AH192" i="7"/>
  <c r="AI192" i="7"/>
  <c r="AI210" i="7"/>
  <c r="AH210" i="7"/>
  <c r="AG210" i="7" s="1"/>
  <c r="AE80" i="7"/>
  <c r="AD80" i="7"/>
  <c r="AD191" i="7"/>
  <c r="AE191" i="7"/>
  <c r="AI119" i="7"/>
  <c r="AH119" i="7"/>
  <c r="AI66" i="7"/>
  <c r="AH66" i="7"/>
  <c r="AI138" i="7"/>
  <c r="AH138" i="7"/>
  <c r="AH43" i="7"/>
  <c r="AI43" i="7"/>
  <c r="AH67" i="7"/>
  <c r="AI67" i="7"/>
  <c r="AI99" i="7"/>
  <c r="AH99" i="7"/>
  <c r="AG99" i="7" s="1"/>
  <c r="AD155" i="7"/>
  <c r="AE155" i="7"/>
  <c r="AD45" i="7"/>
  <c r="AE45" i="7"/>
  <c r="AI216" i="7"/>
  <c r="AH216" i="7"/>
  <c r="AI34" i="7"/>
  <c r="AH34" i="7"/>
  <c r="AI78" i="7"/>
  <c r="AH78" i="7"/>
  <c r="AH195" i="7"/>
  <c r="AI195" i="7"/>
  <c r="AI95" i="7"/>
  <c r="AH95" i="7"/>
  <c r="AG95" i="7" s="1"/>
  <c r="AH73" i="7"/>
  <c r="AI73" i="7"/>
  <c r="AH193" i="7"/>
  <c r="AI193" i="7"/>
  <c r="AH52" i="7"/>
  <c r="AI52" i="7"/>
  <c r="AE131" i="7"/>
  <c r="AD131" i="7"/>
  <c r="AI92" i="7"/>
  <c r="AH92" i="7"/>
  <c r="AG92" i="7" s="1"/>
  <c r="AD168" i="7"/>
  <c r="AE168" i="7"/>
  <c r="AE42" i="7"/>
  <c r="AD42" i="7"/>
  <c r="AI225" i="7"/>
  <c r="AH225" i="7"/>
  <c r="AE62" i="7"/>
  <c r="AD62" i="7"/>
  <c r="AD89" i="7"/>
  <c r="AE89" i="7"/>
  <c r="AH153" i="7"/>
  <c r="AI153" i="7"/>
  <c r="AH91" i="7"/>
  <c r="AI91" i="7"/>
  <c r="AH79" i="7"/>
  <c r="AI79" i="7"/>
  <c r="AD36" i="7"/>
  <c r="AE36" i="7"/>
  <c r="AI222" i="7"/>
  <c r="AH222" i="7"/>
  <c r="AI129" i="7"/>
  <c r="AH129" i="7"/>
  <c r="AE65" i="7"/>
  <c r="AD65" i="7"/>
  <c r="AE218" i="7"/>
  <c r="AD218" i="7"/>
  <c r="AI81" i="7"/>
  <c r="AH81" i="7"/>
  <c r="AD184" i="7"/>
  <c r="AE184" i="7"/>
  <c r="AH112" i="7"/>
  <c r="AI112" i="7"/>
  <c r="AH94" i="7"/>
  <c r="AI94" i="7"/>
  <c r="AD164" i="7"/>
  <c r="AE164" i="7"/>
  <c r="AH178" i="7"/>
  <c r="AI178" i="7"/>
  <c r="AI186" i="7"/>
  <c r="AH186" i="7"/>
  <c r="AI93" i="7"/>
  <c r="AH93" i="7"/>
  <c r="AI54" i="7"/>
  <c r="AH54" i="7"/>
  <c r="AH64" i="7"/>
  <c r="AI64" i="7"/>
  <c r="AH103" i="7"/>
  <c r="AI103" i="7"/>
  <c r="AD182" i="7"/>
  <c r="AE182" i="7"/>
  <c r="AH144" i="7"/>
  <c r="AI144" i="7"/>
  <c r="AI170" i="7"/>
  <c r="AH170" i="7"/>
  <c r="AG170" i="7" s="1"/>
  <c r="AH166" i="7"/>
  <c r="AI166" i="7"/>
  <c r="AD157" i="7"/>
  <c r="AE157" i="7"/>
  <c r="AH35" i="7"/>
  <c r="AI35" i="7"/>
  <c r="AE172" i="7"/>
  <c r="AD172" i="7"/>
  <c r="AH180" i="7"/>
  <c r="AI180" i="7"/>
  <c r="AH97" i="7"/>
  <c r="AI97" i="7"/>
  <c r="AD74" i="7"/>
  <c r="AE74" i="7"/>
  <c r="AD57" i="7"/>
  <c r="AE57" i="7"/>
  <c r="AI125" i="7"/>
  <c r="AI211" i="7"/>
  <c r="AH211" i="7"/>
  <c r="AI83" i="7"/>
  <c r="AH83" i="7"/>
  <c r="AE39" i="7"/>
  <c r="AD39" i="7"/>
  <c r="AI304" i="7"/>
  <c r="AH304" i="7"/>
  <c r="AD199" i="7"/>
  <c r="AE199" i="7"/>
  <c r="AI98" i="7"/>
  <c r="AH98" i="7"/>
  <c r="AH29" i="7"/>
  <c r="AI29" i="7"/>
  <c r="AH140" i="7"/>
  <c r="AI140" i="7"/>
  <c r="AD114" i="7"/>
  <c r="AE114" i="7"/>
  <c r="AH201" i="7"/>
  <c r="AI201" i="7"/>
  <c r="AE48" i="7"/>
  <c r="AD48" i="7"/>
  <c r="AG158" i="7"/>
  <c r="AH85" i="7"/>
  <c r="AI85" i="7"/>
  <c r="AG142" i="7"/>
  <c r="AH156" i="7"/>
  <c r="AI156" i="7"/>
  <c r="AH124" i="7"/>
  <c r="AI124" i="7"/>
  <c r="AI117" i="7"/>
  <c r="AH117" i="7"/>
  <c r="AI226" i="7"/>
  <c r="AH226" i="7"/>
  <c r="AG226" i="7" s="1"/>
  <c r="AH70" i="7"/>
  <c r="AI70" i="7"/>
  <c r="AH55" i="7"/>
  <c r="AI55" i="7"/>
  <c r="AD150" i="7"/>
  <c r="AE150" i="7"/>
  <c r="AI206" i="7"/>
  <c r="AH206" i="7"/>
  <c r="AI143" i="7"/>
  <c r="AH143" i="7"/>
  <c r="AI30" i="7"/>
  <c r="AH30" i="7"/>
  <c r="AG30" i="7" s="1"/>
  <c r="AD116" i="7"/>
  <c r="AE116" i="7"/>
  <c r="AI75" i="7"/>
  <c r="AH75" i="7"/>
  <c r="AD63" i="7"/>
  <c r="AE63" i="7"/>
  <c r="AG221" i="7"/>
  <c r="AI120" i="7"/>
  <c r="AH120" i="7"/>
  <c r="AH127" i="7"/>
  <c r="AI127" i="7"/>
  <c r="AH189" i="7"/>
  <c r="AI189" i="7"/>
  <c r="AD215" i="7"/>
  <c r="AE215" i="7"/>
  <c r="AH202" i="7"/>
  <c r="AI202" i="7"/>
  <c r="AH162" i="7"/>
  <c r="AI162" i="7"/>
  <c r="AI214" i="7"/>
  <c r="AH214" i="7"/>
  <c r="AH171" i="7"/>
  <c r="AI171" i="7"/>
  <c r="AI86" i="7"/>
  <c r="AH86" i="7"/>
  <c r="AI105" i="7"/>
  <c r="AH105" i="7"/>
  <c r="AG105" i="7" s="1"/>
  <c r="AH284" i="7"/>
  <c r="AH316" i="7"/>
  <c r="AG316" i="7" s="1"/>
  <c r="AH258" i="7"/>
  <c r="AG258" i="7" s="1"/>
  <c r="AH269" i="7"/>
  <c r="AH314" i="7"/>
  <c r="AH293" i="7"/>
  <c r="AH307" i="7"/>
  <c r="AG307" i="7" s="1"/>
  <c r="AH301" i="7"/>
  <c r="AH261" i="7"/>
  <c r="AG261" i="7" s="1"/>
  <c r="AH309" i="7"/>
  <c r="AH266" i="7"/>
  <c r="AG266" i="7" s="1"/>
  <c r="AH308" i="7"/>
  <c r="AH318" i="7"/>
  <c r="AG318" i="7" s="1"/>
  <c r="AH235" i="7"/>
  <c r="AH249" i="7"/>
  <c r="AG249" i="7" s="1"/>
  <c r="AH275" i="7"/>
  <c r="AG275" i="7" s="1"/>
  <c r="AH241" i="7"/>
  <c r="AH303" i="7"/>
  <c r="AH254" i="7"/>
  <c r="AH238" i="7"/>
  <c r="AG238" i="7" s="1"/>
  <c r="AH255" i="7"/>
  <c r="AG255" i="7" s="1"/>
  <c r="AH286" i="7"/>
  <c r="AH228" i="7"/>
  <c r="AG228" i="7" s="1"/>
  <c r="AH324" i="7"/>
  <c r="AG324" i="7" s="1"/>
  <c r="AH252" i="7"/>
  <c r="AH285" i="7"/>
  <c r="AH319" i="7"/>
  <c r="AH262" i="7"/>
  <c r="AH278" i="7"/>
  <c r="AH310" i="7"/>
  <c r="AE315" i="7"/>
  <c r="AI315" i="7" s="1"/>
  <c r="AD315" i="7"/>
  <c r="AH260" i="7"/>
  <c r="AG260" i="7" s="1"/>
  <c r="AH312" i="7"/>
  <c r="AH270" i="7"/>
  <c r="AG302" i="7"/>
  <c r="AH282" i="7"/>
  <c r="AH287" i="7"/>
  <c r="AG287" i="7" s="1"/>
  <c r="AH240" i="7"/>
  <c r="AH264" i="7"/>
  <c r="AH231" i="7"/>
  <c r="AG231" i="7" s="1"/>
  <c r="AH306" i="7"/>
  <c r="AH297" i="7"/>
  <c r="AH25" i="7"/>
  <c r="AH295" i="7"/>
  <c r="AG295" i="7" s="1"/>
  <c r="AH320" i="7"/>
  <c r="AG320" i="7" s="1"/>
  <c r="AH253" i="7"/>
  <c r="AG253" i="7" s="1"/>
  <c r="AH279" i="7"/>
  <c r="AG279" i="7" s="1"/>
  <c r="AH289" i="7"/>
  <c r="AG289" i="7" s="1"/>
  <c r="AH274" i="7"/>
  <c r="AG274" i="7" s="1"/>
  <c r="AH288" i="7"/>
  <c r="AG288" i="7" s="1"/>
  <c r="AH272" i="7"/>
  <c r="AH250" i="7"/>
  <c r="AH245" i="7"/>
  <c r="AH263" i="7"/>
  <c r="AG263" i="7" s="1"/>
  <c r="AH276" i="7"/>
  <c r="AH229" i="7"/>
  <c r="AH243" i="7"/>
  <c r="AH237" i="7"/>
  <c r="AH232" i="7"/>
  <c r="AG232" i="7" s="1"/>
  <c r="AH244" i="7"/>
  <c r="AG244" i="7" s="1"/>
  <c r="AH311" i="7"/>
  <c r="AG305" i="7"/>
  <c r="AH234" i="7"/>
  <c r="AH300" i="7"/>
  <c r="AH257" i="7"/>
  <c r="AH326" i="7"/>
  <c r="AH268" i="7"/>
  <c r="AG268" i="7" s="1"/>
  <c r="AH283" i="7"/>
  <c r="AE273" i="7"/>
  <c r="AI273" i="7" s="1"/>
  <c r="AD273" i="7"/>
  <c r="AH246" i="7"/>
  <c r="AG246" i="7" s="1"/>
  <c r="AH323" i="7"/>
  <c r="AG323" i="7" s="1"/>
  <c r="AH321" i="7"/>
  <c r="AH248" i="7"/>
  <c r="AG248" i="7" s="1"/>
  <c r="AH280" i="7"/>
  <c r="AH247" i="7"/>
  <c r="AG270" i="7"/>
  <c r="AG285" i="7"/>
  <c r="AE291" i="7"/>
  <c r="AI291" i="7" s="1"/>
  <c r="AD291" i="7"/>
  <c r="AE277" i="7"/>
  <c r="AI277" i="7" s="1"/>
  <c r="AD277" i="7"/>
  <c r="AG235" i="7"/>
  <c r="AE267" i="7"/>
  <c r="AI267" i="7" s="1"/>
  <c r="AD267" i="7"/>
  <c r="AG313" i="7"/>
  <c r="AG239" i="7"/>
  <c r="AG259" i="7"/>
  <c r="X70" i="6"/>
  <c r="W70" i="6"/>
  <c r="V70" i="6"/>
  <c r="O68" i="5"/>
  <c r="N68" i="5"/>
  <c r="M68" i="5"/>
  <c r="R26" i="4"/>
  <c r="R31" i="4"/>
  <c r="R33" i="4"/>
  <c r="R24" i="4"/>
  <c r="R29" i="4"/>
  <c r="R34" i="4"/>
  <c r="R27" i="4"/>
  <c r="R32" i="4"/>
  <c r="R25" i="4"/>
  <c r="R30" i="4"/>
  <c r="R28" i="4"/>
  <c r="AE26" i="7"/>
  <c r="AI26" i="7" s="1"/>
  <c r="AD26" i="7"/>
  <c r="R23" i="4"/>
  <c r="AD25" i="7"/>
  <c r="AI60" i="7" l="1"/>
  <c r="AH60" i="7"/>
  <c r="AG60" i="7" s="1"/>
  <c r="AG29" i="7"/>
  <c r="AG109" i="7"/>
  <c r="AG171" i="7"/>
  <c r="AG127" i="7"/>
  <c r="AG156" i="7"/>
  <c r="AG140" i="7"/>
  <c r="AG193" i="7"/>
  <c r="AG165" i="7"/>
  <c r="AG190" i="7"/>
  <c r="AG148" i="7"/>
  <c r="AG136" i="7"/>
  <c r="AG194" i="7"/>
  <c r="AI147" i="7"/>
  <c r="AH147" i="7"/>
  <c r="AG147" i="7" s="1"/>
  <c r="AG76" i="7"/>
  <c r="AG200" i="7"/>
  <c r="AG52" i="7"/>
  <c r="AG43" i="7"/>
  <c r="AG58" i="7"/>
  <c r="AG106" i="7"/>
  <c r="AG126" i="7"/>
  <c r="AG124" i="7"/>
  <c r="AG112" i="7"/>
  <c r="AG203" i="7"/>
  <c r="AG166" i="7"/>
  <c r="AG146" i="7"/>
  <c r="AH325" i="7"/>
  <c r="AG325" i="7" s="1"/>
  <c r="AG83" i="7"/>
  <c r="AG107" i="7"/>
  <c r="AG101" i="7"/>
  <c r="AG40" i="7"/>
  <c r="AG141" i="7"/>
  <c r="AH183" i="7"/>
  <c r="AI183" i="7"/>
  <c r="AG183" i="7" s="1"/>
  <c r="AH196" i="7"/>
  <c r="AI196" i="7"/>
  <c r="AG73" i="7"/>
  <c r="AG85" i="7"/>
  <c r="AG187" i="7"/>
  <c r="AG72" i="7"/>
  <c r="AG55" i="7"/>
  <c r="AG79" i="7"/>
  <c r="AG86" i="7"/>
  <c r="AG98" i="7"/>
  <c r="AG125" i="7"/>
  <c r="AG119" i="7"/>
  <c r="AG104" i="7"/>
  <c r="AG123" i="7"/>
  <c r="AH174" i="7"/>
  <c r="AI174" i="7"/>
  <c r="AI133" i="7"/>
  <c r="AG133" i="7" s="1"/>
  <c r="AI175" i="7"/>
  <c r="AH175" i="7"/>
  <c r="AG175" i="7" s="1"/>
  <c r="AH134" i="7"/>
  <c r="AI134" i="7"/>
  <c r="AG143" i="7"/>
  <c r="AG117" i="7"/>
  <c r="AG129" i="7"/>
  <c r="AG78" i="7"/>
  <c r="AH172" i="7"/>
  <c r="AI172" i="7"/>
  <c r="AG70" i="7"/>
  <c r="AI218" i="7"/>
  <c r="AH218" i="7"/>
  <c r="AG218" i="7" s="1"/>
  <c r="AG189" i="7"/>
  <c r="AG35" i="7"/>
  <c r="AH164" i="7"/>
  <c r="AI164" i="7"/>
  <c r="AG207" i="7"/>
  <c r="AH56" i="7"/>
  <c r="AI56" i="7"/>
  <c r="AG118" i="7"/>
  <c r="AG145" i="7"/>
  <c r="AI122" i="7"/>
  <c r="AH122" i="7"/>
  <c r="AG122" i="7" s="1"/>
  <c r="AI159" i="7"/>
  <c r="AH159" i="7"/>
  <c r="AH48" i="7"/>
  <c r="AI48" i="7"/>
  <c r="AH199" i="7"/>
  <c r="AI199" i="7"/>
  <c r="AI57" i="7"/>
  <c r="AH57" i="7"/>
  <c r="AG57" i="7" s="1"/>
  <c r="AH157" i="7"/>
  <c r="AI157" i="7"/>
  <c r="AG103" i="7"/>
  <c r="AH65" i="7"/>
  <c r="AI65" i="7"/>
  <c r="AG153" i="7"/>
  <c r="AG195" i="7"/>
  <c r="AH191" i="7"/>
  <c r="AI191" i="7"/>
  <c r="AG90" i="7"/>
  <c r="AI113" i="7"/>
  <c r="AH113" i="7"/>
  <c r="AG113" i="7" s="1"/>
  <c r="AI53" i="7"/>
  <c r="AH53" i="7"/>
  <c r="AG53" i="7" s="1"/>
  <c r="AI116" i="7"/>
  <c r="AH116" i="7"/>
  <c r="AG116" i="7" s="1"/>
  <c r="AG178" i="7"/>
  <c r="AI89" i="7"/>
  <c r="AH89" i="7"/>
  <c r="AH154" i="7"/>
  <c r="AI154" i="7"/>
  <c r="AG214" i="7"/>
  <c r="AG120" i="7"/>
  <c r="AG201" i="7"/>
  <c r="AG304" i="7"/>
  <c r="AH74" i="7"/>
  <c r="AI74" i="7"/>
  <c r="AG64" i="7"/>
  <c r="AG94" i="7"/>
  <c r="AI131" i="7"/>
  <c r="AH131" i="7"/>
  <c r="AG67" i="7"/>
  <c r="AG294" i="7"/>
  <c r="AG177" i="7"/>
  <c r="AI51" i="7"/>
  <c r="AH51" i="7"/>
  <c r="AG51" i="7" s="1"/>
  <c r="AG212" i="7"/>
  <c r="AG227" i="7"/>
  <c r="AH50" i="7"/>
  <c r="AI50" i="7"/>
  <c r="AG38" i="7"/>
  <c r="AG206" i="7"/>
  <c r="AI114" i="7"/>
  <c r="AH114" i="7"/>
  <c r="AG54" i="7"/>
  <c r="AG222" i="7"/>
  <c r="AG34" i="7"/>
  <c r="AI80" i="7"/>
  <c r="AH80" i="7"/>
  <c r="AG108" i="7"/>
  <c r="AG208" i="7"/>
  <c r="AH62" i="7"/>
  <c r="AI62" i="7"/>
  <c r="AG162" i="7"/>
  <c r="AI63" i="7"/>
  <c r="AH63" i="7"/>
  <c r="AI150" i="7"/>
  <c r="AH150" i="7"/>
  <c r="AG150" i="7" s="1"/>
  <c r="AH39" i="7"/>
  <c r="AI39" i="7"/>
  <c r="AG97" i="7"/>
  <c r="AG93" i="7"/>
  <c r="AH184" i="7"/>
  <c r="AI184" i="7"/>
  <c r="AI36" i="7"/>
  <c r="AH36" i="7"/>
  <c r="AG225" i="7"/>
  <c r="AG216" i="7"/>
  <c r="AG138" i="7"/>
  <c r="AG49" i="7"/>
  <c r="AG161" i="7"/>
  <c r="AG31" i="7"/>
  <c r="AG37" i="7"/>
  <c r="AI128" i="7"/>
  <c r="AH128" i="7"/>
  <c r="AI110" i="7"/>
  <c r="AH110" i="7"/>
  <c r="AG202" i="7"/>
  <c r="AG75" i="7"/>
  <c r="AG180" i="7"/>
  <c r="AG144" i="7"/>
  <c r="AG186" i="7"/>
  <c r="AG81" i="7"/>
  <c r="AI45" i="7"/>
  <c r="AH45" i="7"/>
  <c r="AG66" i="7"/>
  <c r="AG192" i="7"/>
  <c r="AG61" i="7"/>
  <c r="AG181" i="7"/>
  <c r="AI137" i="7"/>
  <c r="AH137" i="7"/>
  <c r="AG69" i="7"/>
  <c r="AI215" i="7"/>
  <c r="AH215" i="7"/>
  <c r="AG215" i="7" s="1"/>
  <c r="AG211" i="7"/>
  <c r="AH182" i="7"/>
  <c r="AI182" i="7"/>
  <c r="AI42" i="7"/>
  <c r="AH42" i="7"/>
  <c r="AI77" i="7"/>
  <c r="AH77" i="7"/>
  <c r="AG77" i="7" s="1"/>
  <c r="AH173" i="7"/>
  <c r="AI173" i="7"/>
  <c r="AI224" i="7"/>
  <c r="AH224" i="7"/>
  <c r="AG46" i="7"/>
  <c r="AG102" i="7"/>
  <c r="AG197" i="7"/>
  <c r="AH163" i="7"/>
  <c r="AI163" i="7"/>
  <c r="AH71" i="7"/>
  <c r="AI71" i="7"/>
  <c r="AI168" i="7"/>
  <c r="AH168" i="7"/>
  <c r="AH155" i="7"/>
  <c r="AI155" i="7"/>
  <c r="AG91" i="7"/>
  <c r="AH209" i="7"/>
  <c r="AI209" i="7"/>
  <c r="AG198" i="7"/>
  <c r="AH277" i="7"/>
  <c r="AG277" i="7" s="1"/>
  <c r="AH273" i="7"/>
  <c r="AG273" i="7" s="1"/>
  <c r="AH26" i="7"/>
  <c r="AK26" i="7" s="1"/>
  <c r="AH267" i="7"/>
  <c r="AG267" i="7" s="1"/>
  <c r="AH291" i="7"/>
  <c r="AH315" i="7"/>
  <c r="AG315" i="7" s="1"/>
  <c r="AG326" i="7"/>
  <c r="AG284" i="7"/>
  <c r="AG229" i="7"/>
  <c r="AG240" i="7"/>
  <c r="AG252" i="7"/>
  <c r="AG297" i="7"/>
  <c r="AG312" i="7"/>
  <c r="AG237" i="7"/>
  <c r="AG262" i="7"/>
  <c r="AG234" i="7"/>
  <c r="AG280" i="7"/>
  <c r="AG303" i="7"/>
  <c r="AG314" i="7"/>
  <c r="AG282" i="7"/>
  <c r="AG283" i="7"/>
  <c r="AG308" i="7"/>
  <c r="AG278" i="7"/>
  <c r="AG269" i="7"/>
  <c r="AG321" i="7"/>
  <c r="AG300" i="7"/>
  <c r="AG319" i="7"/>
  <c r="AG243" i="7"/>
  <c r="AG245" i="7"/>
  <c r="AG276" i="7"/>
  <c r="AG306" i="7"/>
  <c r="AG247" i="7"/>
  <c r="AG310" i="7"/>
  <c r="AG241" i="7"/>
  <c r="AG254" i="7"/>
  <c r="AG272" i="7"/>
  <c r="AG311" i="7"/>
  <c r="AG309" i="7"/>
  <c r="AG257" i="7"/>
  <c r="AG250" i="7"/>
  <c r="AG264" i="7"/>
  <c r="AG293" i="7"/>
  <c r="AG301" i="7"/>
  <c r="AG286" i="7"/>
  <c r="K12" i="2"/>
  <c r="K11" i="2"/>
  <c r="J55" i="2"/>
  <c r="I55" i="2"/>
  <c r="H55" i="2"/>
  <c r="G55" i="2"/>
  <c r="F55" i="2"/>
  <c r="E55" i="2"/>
  <c r="D55" i="2"/>
  <c r="C55" i="2"/>
  <c r="J54" i="2"/>
  <c r="I54" i="2"/>
  <c r="H54" i="2"/>
  <c r="G54" i="2"/>
  <c r="F54" i="2"/>
  <c r="E54" i="2"/>
  <c r="D54" i="2"/>
  <c r="C54" i="2"/>
  <c r="J53" i="2"/>
  <c r="I53" i="2"/>
  <c r="H53" i="2"/>
  <c r="G53" i="2"/>
  <c r="F53" i="2"/>
  <c r="E53" i="2"/>
  <c r="D53" i="2"/>
  <c r="C53" i="2"/>
  <c r="J52" i="2"/>
  <c r="I52" i="2"/>
  <c r="H52" i="2"/>
  <c r="G52" i="2"/>
  <c r="F52" i="2"/>
  <c r="E52" i="2"/>
  <c r="D52" i="2"/>
  <c r="C52" i="2"/>
  <c r="J51" i="2"/>
  <c r="I51" i="2"/>
  <c r="H51" i="2"/>
  <c r="G51" i="2"/>
  <c r="F51" i="2"/>
  <c r="E51" i="2"/>
  <c r="D51" i="2"/>
  <c r="C51" i="2"/>
  <c r="J50" i="2"/>
  <c r="I50" i="2"/>
  <c r="H50" i="2"/>
  <c r="G50" i="2"/>
  <c r="F50" i="2"/>
  <c r="E50" i="2"/>
  <c r="D50" i="2"/>
  <c r="C50" i="2"/>
  <c r="J49" i="2"/>
  <c r="I49" i="2"/>
  <c r="H49" i="2"/>
  <c r="G49" i="2"/>
  <c r="F49" i="2"/>
  <c r="E49" i="2"/>
  <c r="D49" i="2"/>
  <c r="C49" i="2"/>
  <c r="J48" i="2"/>
  <c r="I48" i="2"/>
  <c r="H48" i="2"/>
  <c r="G48" i="2"/>
  <c r="F48" i="2"/>
  <c r="E48" i="2"/>
  <c r="D48" i="2"/>
  <c r="C48" i="2"/>
  <c r="J47" i="2"/>
  <c r="I47" i="2"/>
  <c r="H47" i="2"/>
  <c r="G47" i="2"/>
  <c r="F47" i="2"/>
  <c r="E47" i="2"/>
  <c r="D47" i="2"/>
  <c r="C47" i="2"/>
  <c r="J46" i="2"/>
  <c r="I46" i="2"/>
  <c r="H46" i="2"/>
  <c r="G46" i="2"/>
  <c r="F46" i="2"/>
  <c r="E46" i="2"/>
  <c r="D46" i="2"/>
  <c r="C46" i="2"/>
  <c r="J45" i="2"/>
  <c r="I45" i="2"/>
  <c r="H45" i="2"/>
  <c r="G45" i="2"/>
  <c r="F45" i="2"/>
  <c r="E45" i="2"/>
  <c r="D45" i="2"/>
  <c r="C45" i="2"/>
  <c r="J44" i="2"/>
  <c r="I44" i="2"/>
  <c r="H44" i="2"/>
  <c r="G44" i="2"/>
  <c r="F44" i="2"/>
  <c r="E44" i="2"/>
  <c r="D44" i="2"/>
  <c r="C44" i="2"/>
  <c r="C39" i="2"/>
  <c r="D39" i="2"/>
  <c r="E39" i="2"/>
  <c r="F39" i="2"/>
  <c r="G39" i="2"/>
  <c r="H39" i="2"/>
  <c r="I39" i="2"/>
  <c r="J39" i="2"/>
  <c r="C40" i="2"/>
  <c r="D40" i="2"/>
  <c r="E40" i="2"/>
  <c r="F40" i="2"/>
  <c r="G40" i="2"/>
  <c r="H40" i="2"/>
  <c r="I40" i="2"/>
  <c r="J40" i="2"/>
  <c r="C41" i="2"/>
  <c r="D41" i="2"/>
  <c r="E41" i="2"/>
  <c r="F41" i="2"/>
  <c r="G41" i="2"/>
  <c r="H41" i="2"/>
  <c r="I41" i="2"/>
  <c r="J41" i="2"/>
  <c r="C42" i="2"/>
  <c r="D42" i="2"/>
  <c r="E42" i="2"/>
  <c r="F42" i="2"/>
  <c r="G42" i="2"/>
  <c r="H42" i="2"/>
  <c r="I42" i="2"/>
  <c r="J42" i="2"/>
  <c r="J38" i="2"/>
  <c r="I38" i="2"/>
  <c r="H38" i="2"/>
  <c r="G38" i="2"/>
  <c r="F38" i="2"/>
  <c r="E38" i="2"/>
  <c r="D38" i="2"/>
  <c r="C38" i="2"/>
  <c r="O25" i="7"/>
  <c r="T25" i="7"/>
  <c r="S25" i="7"/>
  <c r="I25" i="7"/>
  <c r="AK25" i="7" s="1"/>
  <c r="E28" i="2"/>
  <c r="F28" i="2"/>
  <c r="G28" i="2"/>
  <c r="E29" i="2"/>
  <c r="F29" i="2"/>
  <c r="G29" i="2"/>
  <c r="E30" i="2"/>
  <c r="F30" i="2"/>
  <c r="G30" i="2"/>
  <c r="G27" i="2"/>
  <c r="F27" i="2"/>
  <c r="E27" i="2"/>
  <c r="F12" i="2"/>
  <c r="F13" i="2"/>
  <c r="F14" i="2"/>
  <c r="F15" i="2"/>
  <c r="F16" i="2"/>
  <c r="F17" i="2"/>
  <c r="F18" i="2"/>
  <c r="F19" i="2"/>
  <c r="F20" i="2"/>
  <c r="F21" i="2"/>
  <c r="F22" i="2"/>
  <c r="F23" i="2"/>
  <c r="F24" i="2"/>
  <c r="F25" i="2"/>
  <c r="F11" i="2"/>
  <c r="G11" i="2"/>
  <c r="G12" i="2"/>
  <c r="G13" i="2"/>
  <c r="G14" i="2"/>
  <c r="G15" i="2"/>
  <c r="G16" i="2"/>
  <c r="G17" i="2"/>
  <c r="G18" i="2"/>
  <c r="G19" i="2"/>
  <c r="G20" i="2"/>
  <c r="G21" i="2"/>
  <c r="G22" i="2"/>
  <c r="G23" i="2"/>
  <c r="G24" i="2"/>
  <c r="G25" i="2"/>
  <c r="E11" i="2"/>
  <c r="E12" i="2"/>
  <c r="E13" i="2"/>
  <c r="E14" i="2"/>
  <c r="E15" i="2"/>
  <c r="E16" i="2"/>
  <c r="E17" i="2"/>
  <c r="E18" i="2"/>
  <c r="E19" i="2"/>
  <c r="E20" i="2"/>
  <c r="E21" i="2"/>
  <c r="E22" i="2"/>
  <c r="E23" i="2"/>
  <c r="E24" i="2"/>
  <c r="E25" i="2"/>
  <c r="G10" i="2"/>
  <c r="E10" i="2"/>
  <c r="D30" i="2"/>
  <c r="D29" i="2"/>
  <c r="D28" i="2"/>
  <c r="D27" i="2"/>
  <c r="D11" i="2"/>
  <c r="D12" i="2"/>
  <c r="D13" i="2"/>
  <c r="D14" i="2"/>
  <c r="D15" i="2"/>
  <c r="D16" i="2"/>
  <c r="D17" i="2"/>
  <c r="D18" i="2"/>
  <c r="D19" i="2"/>
  <c r="D20" i="2"/>
  <c r="D21" i="2"/>
  <c r="D22" i="2"/>
  <c r="D23" i="2"/>
  <c r="D24" i="2"/>
  <c r="D25" i="2"/>
  <c r="D10" i="2"/>
  <c r="C10" i="2"/>
  <c r="C30" i="2"/>
  <c r="C29" i="2"/>
  <c r="C28" i="2"/>
  <c r="C27" i="2"/>
  <c r="C11" i="2"/>
  <c r="C12" i="2"/>
  <c r="C13" i="2"/>
  <c r="C14" i="2"/>
  <c r="C15" i="2"/>
  <c r="C16" i="2"/>
  <c r="C17" i="2"/>
  <c r="C18" i="2"/>
  <c r="C19" i="2"/>
  <c r="C20" i="2"/>
  <c r="C21" i="2"/>
  <c r="C22" i="2"/>
  <c r="C23" i="2"/>
  <c r="C24" i="2"/>
  <c r="C25" i="2"/>
  <c r="AF57" i="6"/>
  <c r="Z50" i="6"/>
  <c r="Z49" i="6"/>
  <c r="Z48" i="6"/>
  <c r="Z47" i="6"/>
  <c r="Z46" i="6"/>
  <c r="Z38" i="6"/>
  <c r="Z37" i="6"/>
  <c r="Z36" i="6"/>
  <c r="Z35" i="6"/>
  <c r="Z19" i="6"/>
  <c r="Z18" i="6"/>
  <c r="R57" i="6"/>
  <c r="R55" i="6"/>
  <c r="R51" i="6"/>
  <c r="R50" i="6"/>
  <c r="R48" i="6"/>
  <c r="R47" i="6"/>
  <c r="R46" i="6"/>
  <c r="R45" i="6"/>
  <c r="R44" i="6"/>
  <c r="R43" i="6"/>
  <c r="R42" i="6"/>
  <c r="R41" i="6"/>
  <c r="R40" i="6"/>
  <c r="R39" i="6"/>
  <c r="R38" i="6"/>
  <c r="R37" i="6"/>
  <c r="R33" i="6"/>
  <c r="R32" i="6"/>
  <c r="R30" i="6"/>
  <c r="R29" i="6"/>
  <c r="R28" i="6"/>
  <c r="R27" i="6"/>
  <c r="R26" i="6"/>
  <c r="R25" i="6"/>
  <c r="R24" i="6"/>
  <c r="R23" i="6"/>
  <c r="R22" i="6"/>
  <c r="R21" i="6"/>
  <c r="R20" i="6"/>
  <c r="R19" i="6"/>
  <c r="R18" i="6"/>
  <c r="R17" i="6"/>
  <c r="H115" i="6"/>
  <c r="H113" i="6"/>
  <c r="H111" i="6"/>
  <c r="H110" i="6"/>
  <c r="H109" i="6"/>
  <c r="H108" i="6"/>
  <c r="H107" i="6"/>
  <c r="H104" i="6"/>
  <c r="H103" i="6"/>
  <c r="H102" i="6"/>
  <c r="H101" i="6"/>
  <c r="H100" i="6"/>
  <c r="H99" i="6"/>
  <c r="H98" i="6"/>
  <c r="H97" i="6"/>
  <c r="H96" i="6"/>
  <c r="H95" i="6"/>
  <c r="H92" i="6"/>
  <c r="H91" i="6"/>
  <c r="H90" i="6"/>
  <c r="H89" i="6"/>
  <c r="H88" i="6"/>
  <c r="H87" i="6"/>
  <c r="H86" i="6"/>
  <c r="H85" i="6"/>
  <c r="H82" i="6"/>
  <c r="H81" i="6"/>
  <c r="H80" i="6"/>
  <c r="H79" i="6"/>
  <c r="H78" i="6"/>
  <c r="H77" i="6"/>
  <c r="H76" i="6"/>
  <c r="H75" i="6"/>
  <c r="H74" i="6"/>
  <c r="H73" i="6"/>
  <c r="H70" i="6"/>
  <c r="H69" i="6"/>
  <c r="H68" i="6"/>
  <c r="H65" i="6"/>
  <c r="H64" i="6"/>
  <c r="H63" i="6"/>
  <c r="H62" i="6"/>
  <c r="H61" i="6"/>
  <c r="H60" i="6"/>
  <c r="H59" i="6"/>
  <c r="H56" i="6"/>
  <c r="H55" i="6"/>
  <c r="H54" i="6"/>
  <c r="H53" i="6"/>
  <c r="H52" i="6"/>
  <c r="H51" i="6"/>
  <c r="H50" i="6"/>
  <c r="H49" i="6"/>
  <c r="H43" i="6"/>
  <c r="H42" i="6"/>
  <c r="H41" i="6"/>
  <c r="H40" i="6"/>
  <c r="H39" i="6"/>
  <c r="H38" i="6"/>
  <c r="H37" i="6"/>
  <c r="H36" i="6"/>
  <c r="H35" i="6"/>
  <c r="H34" i="6"/>
  <c r="H31" i="6"/>
  <c r="H30" i="6"/>
  <c r="H29" i="6"/>
  <c r="H28" i="6"/>
  <c r="H27" i="6"/>
  <c r="H26" i="6"/>
  <c r="H25" i="6"/>
  <c r="H24" i="6"/>
  <c r="H20" i="6"/>
  <c r="H19" i="6"/>
  <c r="H18" i="6"/>
  <c r="H17" i="6"/>
  <c r="O58" i="5"/>
  <c r="O56" i="5"/>
  <c r="O52" i="5"/>
  <c r="O51" i="5"/>
  <c r="O49" i="5"/>
  <c r="O48" i="5"/>
  <c r="O47" i="5"/>
  <c r="O46" i="5"/>
  <c r="O45" i="5"/>
  <c r="O44" i="5"/>
  <c r="O43" i="5"/>
  <c r="O42" i="5"/>
  <c r="O41" i="5"/>
  <c r="O40" i="5"/>
  <c r="O39" i="5"/>
  <c r="O38" i="5"/>
  <c r="O34" i="5"/>
  <c r="O33" i="5"/>
  <c r="O31" i="5"/>
  <c r="O30" i="5"/>
  <c r="O29" i="5"/>
  <c r="O28" i="5"/>
  <c r="O27" i="5"/>
  <c r="O26" i="5"/>
  <c r="O25" i="5"/>
  <c r="O24" i="5"/>
  <c r="O23" i="5"/>
  <c r="O22" i="5"/>
  <c r="O21" i="5"/>
  <c r="O20" i="5"/>
  <c r="O19" i="5"/>
  <c r="O18" i="5"/>
  <c r="H114" i="5"/>
  <c r="H112" i="5"/>
  <c r="H111" i="5"/>
  <c r="H110" i="5"/>
  <c r="H109" i="5"/>
  <c r="H108" i="5"/>
  <c r="H105" i="5"/>
  <c r="H104" i="5"/>
  <c r="H103" i="5"/>
  <c r="H102" i="5"/>
  <c r="H101" i="5"/>
  <c r="H100" i="5"/>
  <c r="H99" i="5"/>
  <c r="H98" i="5"/>
  <c r="H97" i="5"/>
  <c r="H96" i="5"/>
  <c r="H93" i="5"/>
  <c r="H92" i="5"/>
  <c r="H91" i="5"/>
  <c r="H90" i="5"/>
  <c r="H89" i="5"/>
  <c r="H88" i="5"/>
  <c r="H87" i="5"/>
  <c r="H86" i="5"/>
  <c r="H83" i="5"/>
  <c r="H82" i="5"/>
  <c r="H81" i="5"/>
  <c r="H80" i="5"/>
  <c r="H79" i="5"/>
  <c r="H78" i="5"/>
  <c r="H77" i="5"/>
  <c r="H76" i="5"/>
  <c r="H75" i="5"/>
  <c r="H74" i="5"/>
  <c r="H71" i="5"/>
  <c r="H70" i="5"/>
  <c r="H69" i="5"/>
  <c r="H66" i="5"/>
  <c r="H65" i="5"/>
  <c r="H64" i="5"/>
  <c r="H63" i="5"/>
  <c r="H62" i="5"/>
  <c r="H61" i="5"/>
  <c r="H60" i="5"/>
  <c r="H57" i="5"/>
  <c r="H56" i="5"/>
  <c r="H55" i="5"/>
  <c r="H54" i="5"/>
  <c r="H53" i="5"/>
  <c r="H52" i="5"/>
  <c r="H51" i="5"/>
  <c r="H50" i="5"/>
  <c r="H44" i="5"/>
  <c r="H43" i="5"/>
  <c r="H42" i="5"/>
  <c r="H41" i="5"/>
  <c r="H40" i="5"/>
  <c r="H39" i="5"/>
  <c r="H38" i="5"/>
  <c r="H37" i="5"/>
  <c r="H36" i="5"/>
  <c r="H35" i="5"/>
  <c r="H32" i="5"/>
  <c r="H31" i="5"/>
  <c r="H30" i="5"/>
  <c r="H29" i="5"/>
  <c r="H28" i="5"/>
  <c r="H27" i="5"/>
  <c r="H26" i="5"/>
  <c r="H25" i="5"/>
  <c r="H21" i="5"/>
  <c r="H20" i="5"/>
  <c r="H19" i="5"/>
  <c r="H18" i="5"/>
  <c r="F327" i="7"/>
  <c r="D28" i="4"/>
  <c r="AG48" i="7" l="1"/>
  <c r="AG209" i="7"/>
  <c r="AG155" i="7"/>
  <c r="AG154" i="7"/>
  <c r="AG134" i="7"/>
  <c r="AG182" i="7"/>
  <c r="AG196" i="7"/>
  <c r="AG191" i="7"/>
  <c r="AG164" i="7"/>
  <c r="AG137" i="7"/>
  <c r="AG131" i="7"/>
  <c r="AG89" i="7"/>
  <c r="AG62" i="7"/>
  <c r="AG65" i="7"/>
  <c r="AG42" i="7"/>
  <c r="AG128" i="7"/>
  <c r="AG174" i="7"/>
  <c r="AG39" i="7"/>
  <c r="AG56" i="7"/>
  <c r="AG224" i="7"/>
  <c r="AG199" i="7"/>
  <c r="AG63" i="7"/>
  <c r="AG114" i="7"/>
  <c r="AG168" i="7"/>
  <c r="AG173" i="7"/>
  <c r="AG36" i="7"/>
  <c r="AG159" i="7"/>
  <c r="AG110" i="7"/>
  <c r="AG184" i="7"/>
  <c r="AG71" i="7"/>
  <c r="AG50" i="7"/>
  <c r="AG74" i="7"/>
  <c r="AG163" i="7"/>
  <c r="AG45" i="7"/>
  <c r="AG80" i="7"/>
  <c r="AG157" i="7"/>
  <c r="AG172" i="7"/>
  <c r="AG291" i="7"/>
  <c r="D32" i="2"/>
  <c r="C32" i="2"/>
  <c r="E32" i="2"/>
  <c r="F32" i="2"/>
  <c r="G32" i="2"/>
  <c r="O50" i="4"/>
  <c r="N49" i="4"/>
  <c r="O49" i="4" s="1"/>
  <c r="P49" i="4" s="1"/>
  <c r="Q49" i="4" s="1"/>
  <c r="R49" i="4" s="1"/>
  <c r="S49" i="4" s="1"/>
  <c r="T49" i="4" s="1"/>
  <c r="U49" i="4" s="1"/>
  <c r="V49" i="4" s="1"/>
  <c r="W49" i="4" s="1"/>
  <c r="X49" i="4" s="1"/>
  <c r="Y49" i="4" s="1"/>
  <c r="Z49" i="4" s="1"/>
  <c r="AA49" i="4" s="1"/>
  <c r="D66" i="8"/>
  <c r="P47" i="2" l="1"/>
  <c r="P46" i="2"/>
  <c r="P45" i="2"/>
  <c r="P44" i="2"/>
  <c r="P43" i="2"/>
  <c r="P42" i="2"/>
  <c r="P41" i="2"/>
  <c r="G327" i="7"/>
  <c r="R327" i="7" s="1"/>
  <c r="T327" i="7" l="1"/>
  <c r="W71" i="6"/>
  <c r="H27" i="4" l="1"/>
  <c r="H26" i="4"/>
  <c r="H39" i="4"/>
  <c r="H40" i="4"/>
  <c r="H25" i="4"/>
  <c r="H24" i="4"/>
  <c r="H38" i="4"/>
  <c r="H37" i="4"/>
  <c r="H36" i="4"/>
  <c r="H35" i="4"/>
  <c r="H30" i="4"/>
  <c r="H29" i="4"/>
  <c r="H28" i="4"/>
  <c r="W327" i="7" l="1"/>
  <c r="F111" i="6"/>
  <c r="F104" i="6"/>
  <c r="F92" i="6"/>
  <c r="F82" i="6"/>
  <c r="F70" i="6"/>
  <c r="F65" i="6"/>
  <c r="F56" i="6"/>
  <c r="F31" i="6"/>
  <c r="F20" i="6"/>
  <c r="F112" i="5"/>
  <c r="F93" i="5"/>
  <c r="F83" i="5"/>
  <c r="F115" i="6" l="1"/>
  <c r="F34" i="6"/>
  <c r="F35" i="6"/>
  <c r="F36" i="6" l="1"/>
  <c r="F37" i="6" s="1"/>
  <c r="P57" i="6"/>
  <c r="F38" i="6" l="1"/>
  <c r="F39" i="6" s="1"/>
  <c r="F40" i="6" l="1"/>
  <c r="F43" i="6" l="1"/>
  <c r="F45" i="6" l="1"/>
  <c r="P56" i="6" l="1"/>
  <c r="H45" i="6"/>
  <c r="F117" i="6"/>
  <c r="I117" i="6" l="1"/>
  <c r="I108" i="6"/>
  <c r="I100" i="6"/>
  <c r="I92" i="6"/>
  <c r="I86" i="6"/>
  <c r="I78" i="6"/>
  <c r="I70" i="6"/>
  <c r="I62" i="6"/>
  <c r="I54" i="6"/>
  <c r="I38" i="6"/>
  <c r="I30" i="6"/>
  <c r="I24" i="6"/>
  <c r="I101" i="6"/>
  <c r="I79" i="6"/>
  <c r="I55" i="6"/>
  <c r="I25" i="6"/>
  <c r="H117" i="6"/>
  <c r="I95" i="6"/>
  <c r="I73" i="6"/>
  <c r="I115" i="6"/>
  <c r="I107" i="6"/>
  <c r="I99" i="6"/>
  <c r="I91" i="6"/>
  <c r="I85" i="6"/>
  <c r="I77" i="6"/>
  <c r="I69" i="6"/>
  <c r="I61" i="6"/>
  <c r="I53" i="6"/>
  <c r="I43" i="6"/>
  <c r="I37" i="6"/>
  <c r="I29" i="6"/>
  <c r="I20" i="6"/>
  <c r="I49" i="6"/>
  <c r="I109" i="6"/>
  <c r="I87" i="6"/>
  <c r="I63" i="6"/>
  <c r="I31" i="6"/>
  <c r="I113" i="6"/>
  <c r="I104" i="6"/>
  <c r="I98" i="6"/>
  <c r="I90" i="6"/>
  <c r="I82" i="6"/>
  <c r="I76" i="6"/>
  <c r="I68" i="6"/>
  <c r="I60" i="6"/>
  <c r="I52" i="6"/>
  <c r="I42" i="6"/>
  <c r="I36" i="6"/>
  <c r="I28" i="6"/>
  <c r="I19" i="6"/>
  <c r="I111" i="6"/>
  <c r="I103" i="6"/>
  <c r="I97" i="6"/>
  <c r="I89" i="6"/>
  <c r="I81" i="6"/>
  <c r="I75" i="6"/>
  <c r="I65" i="6"/>
  <c r="I59" i="6"/>
  <c r="I51" i="6"/>
  <c r="I41" i="6"/>
  <c r="I35" i="6"/>
  <c r="I27" i="6"/>
  <c r="I18" i="6"/>
  <c r="I110" i="6"/>
  <c r="I102" i="6"/>
  <c r="I96" i="6"/>
  <c r="I88" i="6"/>
  <c r="I80" i="6"/>
  <c r="I74" i="6"/>
  <c r="I64" i="6"/>
  <c r="I56" i="6"/>
  <c r="I50" i="6"/>
  <c r="I40" i="6"/>
  <c r="I34" i="6"/>
  <c r="I26" i="6"/>
  <c r="I17" i="6"/>
  <c r="I39" i="6"/>
  <c r="I45" i="6"/>
  <c r="R56" i="6"/>
  <c r="H327" i="7"/>
  <c r="D37" i="4"/>
  <c r="D31" i="4" l="1"/>
  <c r="K328" i="7"/>
  <c r="K327" i="7"/>
  <c r="G116" i="5"/>
  <c r="E58" i="8"/>
  <c r="E57" i="8"/>
  <c r="E56" i="8"/>
  <c r="E41" i="8"/>
  <c r="E40" i="8"/>
  <c r="E39" i="8"/>
  <c r="E38" i="8"/>
  <c r="E37" i="8"/>
  <c r="E36" i="8"/>
  <c r="E35" i="8"/>
  <c r="E34" i="8"/>
  <c r="E33" i="8"/>
  <c r="E32" i="8"/>
  <c r="E31" i="8"/>
  <c r="E30" i="8"/>
  <c r="E29" i="8"/>
  <c r="E28" i="8"/>
  <c r="E27" i="8"/>
  <c r="E26" i="8"/>
  <c r="E25" i="8"/>
  <c r="E24" i="8"/>
  <c r="E23" i="8"/>
  <c r="E22" i="8"/>
  <c r="E18" i="8"/>
  <c r="E17" i="8"/>
  <c r="D38" i="4"/>
  <c r="U327" i="7"/>
  <c r="V327" i="7" s="1"/>
  <c r="D43" i="4"/>
  <c r="O328" i="7"/>
  <c r="G328" i="7"/>
  <c r="D41" i="4" s="1"/>
  <c r="N75" i="5"/>
  <c r="M75" i="5"/>
  <c r="R36" i="4"/>
  <c r="R41" i="4"/>
  <c r="R39" i="4"/>
  <c r="R44" i="4"/>
  <c r="R37" i="4"/>
  <c r="R43" i="4"/>
  <c r="R42" i="4"/>
  <c r="R35" i="4"/>
  <c r="R40" i="4"/>
  <c r="R38" i="4"/>
  <c r="S327" i="7"/>
  <c r="I327" i="7"/>
  <c r="D36" i="4" s="1"/>
  <c r="R46" i="4" l="1"/>
  <c r="E13" i="4"/>
  <c r="D42" i="4"/>
  <c r="Y50" i="6"/>
  <c r="Y49" i="6"/>
  <c r="Y48" i="6"/>
  <c r="Y47" i="6"/>
  <c r="Y46" i="6"/>
  <c r="Y38" i="6"/>
  <c r="Y37" i="6"/>
  <c r="Y36" i="6"/>
  <c r="Y35" i="6"/>
  <c r="Y19" i="6"/>
  <c r="Y18" i="6"/>
  <c r="R80" i="6"/>
  <c r="Q57" i="6"/>
  <c r="Q56" i="6"/>
  <c r="Q55" i="6"/>
  <c r="Q51" i="6"/>
  <c r="Q50" i="6"/>
  <c r="Q48" i="6"/>
  <c r="Q47" i="6"/>
  <c r="Q46" i="6"/>
  <c r="Q45" i="6"/>
  <c r="Q44" i="6"/>
  <c r="Q43" i="6"/>
  <c r="Q42" i="6"/>
  <c r="Q41" i="6"/>
  <c r="Q40" i="6"/>
  <c r="Q39" i="6"/>
  <c r="Q38" i="6"/>
  <c r="Q37" i="6"/>
  <c r="Q33" i="6"/>
  <c r="Q32" i="6"/>
  <c r="Q30" i="6"/>
  <c r="Q29" i="6"/>
  <c r="Q28" i="6"/>
  <c r="Q27" i="6"/>
  <c r="Q26" i="6"/>
  <c r="Q25" i="6"/>
  <c r="Q24" i="6"/>
  <c r="Q23" i="6"/>
  <c r="Q22" i="6"/>
  <c r="Q21" i="6"/>
  <c r="Q20" i="6"/>
  <c r="Q19" i="6"/>
  <c r="Q18" i="6"/>
  <c r="Q17" i="6"/>
  <c r="G117" i="6"/>
  <c r="G115" i="6"/>
  <c r="G113" i="6"/>
  <c r="G111" i="6"/>
  <c r="G110" i="6"/>
  <c r="G109" i="6"/>
  <c r="G108" i="6"/>
  <c r="G107" i="6"/>
  <c r="G104" i="6"/>
  <c r="G103" i="6"/>
  <c r="G102" i="6"/>
  <c r="G101" i="6"/>
  <c r="G100" i="6"/>
  <c r="G99" i="6"/>
  <c r="G98" i="6"/>
  <c r="G97" i="6"/>
  <c r="G96" i="6"/>
  <c r="G95" i="6"/>
  <c r="G92" i="6"/>
  <c r="G91" i="6"/>
  <c r="G90" i="6"/>
  <c r="G89" i="6"/>
  <c r="G88" i="6"/>
  <c r="G87" i="6"/>
  <c r="G86" i="6"/>
  <c r="G85" i="6"/>
  <c r="G82" i="6"/>
  <c r="G81" i="6"/>
  <c r="G80" i="6"/>
  <c r="G79" i="6"/>
  <c r="G78" i="6"/>
  <c r="G77" i="6"/>
  <c r="G76" i="6"/>
  <c r="G75" i="6"/>
  <c r="G74" i="6"/>
  <c r="G73" i="6"/>
  <c r="G70" i="6"/>
  <c r="G69" i="6"/>
  <c r="G68" i="6"/>
  <c r="G65" i="6"/>
  <c r="G64" i="6"/>
  <c r="G63" i="6"/>
  <c r="G62" i="6"/>
  <c r="G61" i="6"/>
  <c r="G60" i="6"/>
  <c r="G59" i="6"/>
  <c r="G56" i="6"/>
  <c r="G55" i="6"/>
  <c r="G54" i="6"/>
  <c r="G53" i="6"/>
  <c r="G52" i="6"/>
  <c r="G51" i="6"/>
  <c r="G50" i="6"/>
  <c r="G49" i="6"/>
  <c r="G45" i="6"/>
  <c r="E45" i="6" s="1"/>
  <c r="G43" i="6"/>
  <c r="G42" i="6"/>
  <c r="G41" i="6"/>
  <c r="G40" i="6"/>
  <c r="G39" i="6"/>
  <c r="G38" i="6"/>
  <c r="G37" i="6"/>
  <c r="G36" i="6"/>
  <c r="G35" i="6"/>
  <c r="G34" i="6"/>
  <c r="G31" i="6"/>
  <c r="G30" i="6"/>
  <c r="G29" i="6"/>
  <c r="G28" i="6"/>
  <c r="G27" i="6"/>
  <c r="G26" i="6"/>
  <c r="G25" i="6"/>
  <c r="G24" i="6"/>
  <c r="G20" i="6"/>
  <c r="G19" i="6"/>
  <c r="G18" i="6"/>
  <c r="G17" i="6"/>
  <c r="N58" i="5"/>
  <c r="N56" i="5"/>
  <c r="N52" i="5"/>
  <c r="N51" i="5"/>
  <c r="N49" i="5"/>
  <c r="N48" i="5"/>
  <c r="N47" i="5"/>
  <c r="N46" i="5"/>
  <c r="N45" i="5"/>
  <c r="N44" i="5"/>
  <c r="N43" i="5"/>
  <c r="N42" i="5"/>
  <c r="N41" i="5"/>
  <c r="N40" i="5"/>
  <c r="N39" i="5"/>
  <c r="N38" i="5"/>
  <c r="N34" i="5"/>
  <c r="N33" i="5"/>
  <c r="N31" i="5"/>
  <c r="N30" i="5"/>
  <c r="N29" i="5"/>
  <c r="N28" i="5"/>
  <c r="N27" i="5"/>
  <c r="N26" i="5"/>
  <c r="N25" i="5"/>
  <c r="N24" i="5"/>
  <c r="N23" i="5"/>
  <c r="N22" i="5"/>
  <c r="N21" i="5"/>
  <c r="N20" i="5"/>
  <c r="N19" i="5"/>
  <c r="N18" i="5"/>
  <c r="G114" i="5"/>
  <c r="G112" i="5"/>
  <c r="G111" i="5"/>
  <c r="G110" i="5"/>
  <c r="G109" i="5"/>
  <c r="G108" i="5"/>
  <c r="G105" i="5"/>
  <c r="G104" i="5"/>
  <c r="G103" i="5"/>
  <c r="G102" i="5"/>
  <c r="G101" i="5"/>
  <c r="G100" i="5"/>
  <c r="G99" i="5"/>
  <c r="G98" i="5"/>
  <c r="G97" i="5"/>
  <c r="G96" i="5"/>
  <c r="G93" i="5"/>
  <c r="G92" i="5"/>
  <c r="G91" i="5"/>
  <c r="G90" i="5"/>
  <c r="G89" i="5"/>
  <c r="G88" i="5"/>
  <c r="G87" i="5"/>
  <c r="G86" i="5"/>
  <c r="G83" i="5"/>
  <c r="G82" i="5"/>
  <c r="G81" i="5"/>
  <c r="G80" i="5"/>
  <c r="G79" i="5"/>
  <c r="G78" i="5"/>
  <c r="G77" i="5"/>
  <c r="G76" i="5"/>
  <c r="G75" i="5"/>
  <c r="G74" i="5"/>
  <c r="G71" i="5"/>
  <c r="G70" i="5"/>
  <c r="G69" i="5"/>
  <c r="G66" i="5"/>
  <c r="G65" i="5"/>
  <c r="G64" i="5"/>
  <c r="G63" i="5"/>
  <c r="G62" i="5"/>
  <c r="G61" i="5"/>
  <c r="G60" i="5"/>
  <c r="G57" i="5"/>
  <c r="G56" i="5"/>
  <c r="G55" i="5"/>
  <c r="G54" i="5"/>
  <c r="G53" i="5"/>
  <c r="G52" i="5"/>
  <c r="G51" i="5"/>
  <c r="G50" i="5"/>
  <c r="G44" i="5"/>
  <c r="G43" i="5"/>
  <c r="G42" i="5"/>
  <c r="G41" i="5"/>
  <c r="G40" i="5"/>
  <c r="G39" i="5"/>
  <c r="G38" i="5"/>
  <c r="G37" i="5"/>
  <c r="G36" i="5"/>
  <c r="G35" i="5"/>
  <c r="G32" i="5"/>
  <c r="G31" i="5"/>
  <c r="G30" i="5"/>
  <c r="G29" i="5"/>
  <c r="G28" i="5"/>
  <c r="G27" i="5"/>
  <c r="G26" i="5"/>
  <c r="G25" i="5"/>
  <c r="G21" i="5"/>
  <c r="G20" i="5"/>
  <c r="G19" i="5"/>
  <c r="G18" i="5"/>
  <c r="I40" i="4"/>
  <c r="I39" i="4"/>
  <c r="I38" i="4"/>
  <c r="I37" i="4"/>
  <c r="I36" i="4"/>
  <c r="I35" i="4"/>
  <c r="I30" i="4"/>
  <c r="I29" i="4"/>
  <c r="I28" i="4"/>
  <c r="I27" i="4"/>
  <c r="I26" i="4"/>
  <c r="I25" i="4"/>
  <c r="I24" i="4"/>
  <c r="X30" i="6"/>
  <c r="X31" i="6"/>
  <c r="X25" i="6"/>
  <c r="X33" i="6"/>
  <c r="X26" i="6"/>
  <c r="X27" i="6"/>
  <c r="X29" i="6"/>
  <c r="X34" i="6"/>
  <c r="X24" i="6"/>
  <c r="X28" i="6"/>
  <c r="E53" i="8"/>
  <c r="E21" i="8"/>
  <c r="E20" i="8"/>
  <c r="E16" i="8"/>
  <c r="E62" i="8"/>
  <c r="E52" i="8"/>
  <c r="E48" i="8"/>
  <c r="E46" i="8"/>
  <c r="E45" i="8"/>
  <c r="E51" i="8"/>
  <c r="E19" i="8"/>
  <c r="E50" i="8"/>
  <c r="E63" i="8"/>
  <c r="E47" i="8"/>
  <c r="E61" i="8"/>
  <c r="E65" i="8"/>
  <c r="E44" i="8"/>
  <c r="E55" i="8"/>
  <c r="E43" i="8"/>
  <c r="E54" i="8"/>
  <c r="E64" i="8"/>
  <c r="E49" i="8"/>
  <c r="E59" i="8"/>
  <c r="E60" i="8"/>
  <c r="E42" i="8"/>
  <c r="Z28" i="6" l="1"/>
  <c r="Y28" i="6"/>
  <c r="Z24" i="6"/>
  <c r="Y24" i="6"/>
  <c r="Z34" i="6"/>
  <c r="Y34" i="6"/>
  <c r="Z29" i="6"/>
  <c r="Y29" i="6"/>
  <c r="Z27" i="6"/>
  <c r="Y27" i="6"/>
  <c r="Z26" i="6"/>
  <c r="Y26" i="6"/>
  <c r="Z33" i="6"/>
  <c r="Y33" i="6"/>
  <c r="Z25" i="6"/>
  <c r="Y25" i="6"/>
  <c r="Z31" i="6"/>
  <c r="Y31" i="6"/>
  <c r="Z30" i="6"/>
  <c r="Y30" i="6"/>
  <c r="E66" i="8"/>
  <c r="E67" i="8" s="1"/>
  <c r="F105" i="5" l="1"/>
  <c r="F71" i="5"/>
  <c r="F66" i="5"/>
  <c r="F57" i="5"/>
  <c r="F21" i="5"/>
  <c r="M56" i="5" s="1"/>
  <c r="H45" i="4" s="1"/>
  <c r="AJ15" i="6"/>
  <c r="AC16" i="6"/>
  <c r="AC17" i="6"/>
  <c r="AC18" i="6"/>
  <c r="AI18" i="6"/>
  <c r="AC19" i="6"/>
  <c r="AI19" i="6"/>
  <c r="AC20" i="6"/>
  <c r="AC21" i="6"/>
  <c r="AC22" i="6"/>
  <c r="AC23" i="6"/>
  <c r="AC24" i="6"/>
  <c r="AC25" i="6"/>
  <c r="AC26" i="6"/>
  <c r="AC27" i="6"/>
  <c r="AC28" i="6"/>
  <c r="AC29" i="6"/>
  <c r="AC30" i="6"/>
  <c r="AC31" i="6"/>
  <c r="AC32" i="6"/>
  <c r="AC33" i="6"/>
  <c r="AC34" i="6"/>
  <c r="AC35" i="6"/>
  <c r="AI35" i="6"/>
  <c r="AC36" i="6"/>
  <c r="AI36" i="6"/>
  <c r="AC37" i="6"/>
  <c r="AI37" i="6"/>
  <c r="AC38" i="6"/>
  <c r="AI38" i="6"/>
  <c r="AC39" i="6"/>
  <c r="AC40" i="6"/>
  <c r="AC41" i="6"/>
  <c r="AC42" i="6"/>
  <c r="AC43" i="6"/>
  <c r="AC44" i="6"/>
  <c r="AC45" i="6"/>
  <c r="U46" i="6"/>
  <c r="AC46" i="6" s="1"/>
  <c r="X46" i="6"/>
  <c r="U47" i="6"/>
  <c r="AC47" i="6" s="1"/>
  <c r="X47" i="6"/>
  <c r="AO47" i="6" s="1"/>
  <c r="U48" i="6"/>
  <c r="AC48" i="6" s="1"/>
  <c r="X48" i="6"/>
  <c r="AL48" i="6" s="1"/>
  <c r="U49" i="6"/>
  <c r="AC49" i="6" s="1"/>
  <c r="X49" i="6"/>
  <c r="AP49" i="6" s="1"/>
  <c r="AC50" i="6"/>
  <c r="AC51" i="6"/>
  <c r="AC52" i="6"/>
  <c r="AC53" i="6"/>
  <c r="AC54" i="6"/>
  <c r="AC59" i="6"/>
  <c r="I45" i="4" l="1"/>
  <c r="AS49" i="6"/>
  <c r="AU48" i="6"/>
  <c r="AJ38" i="6"/>
  <c r="AJ37" i="6"/>
  <c r="AJ35" i="6"/>
  <c r="AJ18" i="6"/>
  <c r="AK18" i="6" s="1"/>
  <c r="AJ36" i="6"/>
  <c r="AJ19" i="6"/>
  <c r="AW47" i="6"/>
  <c r="AI47" i="6"/>
  <c r="AP47" i="6"/>
  <c r="AR48" i="6"/>
  <c r="AT47" i="6"/>
  <c r="AN47" i="6"/>
  <c r="AK15" i="6"/>
  <c r="AV46" i="6"/>
  <c r="AM46" i="6"/>
  <c r="F116" i="5"/>
  <c r="AM47" i="6"/>
  <c r="AQ46" i="6"/>
  <c r="AL47" i="6"/>
  <c r="AP46" i="6"/>
  <c r="AK47" i="6"/>
  <c r="AO46" i="6"/>
  <c r="AW48" i="6"/>
  <c r="AJ47" i="6"/>
  <c r="AN46" i="6"/>
  <c r="AT48" i="6"/>
  <c r="AV47" i="6"/>
  <c r="AL46" i="6"/>
  <c r="AS48" i="6"/>
  <c r="AU47" i="6"/>
  <c r="AJ46" i="6"/>
  <c r="AK48" i="6"/>
  <c r="AS47" i="6"/>
  <c r="AI48" i="6"/>
  <c r="AR47" i="6"/>
  <c r="AO49" i="6"/>
  <c r="AN49" i="6"/>
  <c r="AT49" i="6"/>
  <c r="AI49" i="6"/>
  <c r="AU49" i="6"/>
  <c r="AJ49" i="6"/>
  <c r="AV49" i="6"/>
  <c r="AK49" i="6"/>
  <c r="AW49" i="6"/>
  <c r="AL49" i="6"/>
  <c r="AM49" i="6"/>
  <c r="AQ49" i="6"/>
  <c r="AR49" i="6"/>
  <c r="P55" i="6"/>
  <c r="X50" i="6"/>
  <c r="AV48" i="6"/>
  <c r="AJ48" i="6"/>
  <c r="AQ48" i="6"/>
  <c r="AW46" i="6"/>
  <c r="AK46" i="6"/>
  <c r="AP48" i="6"/>
  <c r="AO48" i="6"/>
  <c r="AU46" i="6"/>
  <c r="AI46" i="6"/>
  <c r="AN48" i="6"/>
  <c r="AQ47" i="6"/>
  <c r="AT46" i="6"/>
  <c r="AM48" i="6"/>
  <c r="AS46" i="6"/>
  <c r="AR46" i="6"/>
  <c r="AO50" i="6" l="1"/>
  <c r="AO57" i="6" s="1"/>
  <c r="AK36" i="6"/>
  <c r="AK35" i="6"/>
  <c r="AK37" i="6"/>
  <c r="AK38" i="6"/>
  <c r="AK19" i="6"/>
  <c r="AP50" i="6"/>
  <c r="AP57" i="6" s="1"/>
  <c r="AL15" i="6"/>
  <c r="AM15" i="6" s="1"/>
  <c r="AN15" i="6" s="1"/>
  <c r="AO15" i="6" s="1"/>
  <c r="AP15" i="6" s="1"/>
  <c r="AQ15" i="6" s="1"/>
  <c r="AR15" i="6" s="1"/>
  <c r="AS15" i="6" s="1"/>
  <c r="AT15" i="6" s="1"/>
  <c r="AU15" i="6" s="1"/>
  <c r="AV15" i="6" s="1"/>
  <c r="AW15" i="6" s="1"/>
  <c r="AT50" i="6"/>
  <c r="AT57" i="6" s="1"/>
  <c r="AQ50" i="6"/>
  <c r="AQ57" i="6" s="1"/>
  <c r="AN50" i="6"/>
  <c r="AN57" i="6" s="1"/>
  <c r="AU50" i="6"/>
  <c r="AU57" i="6" s="1"/>
  <c r="AL50" i="6"/>
  <c r="AL57" i="6" s="1"/>
  <c r="AW50" i="6"/>
  <c r="AW57" i="6" s="1"/>
  <c r="AI50" i="6"/>
  <c r="AI57" i="6" s="1"/>
  <c r="AJ50" i="6"/>
  <c r="AJ57" i="6" s="1"/>
  <c r="AR50" i="6"/>
  <c r="AR57" i="6" s="1"/>
  <c r="AS50" i="6"/>
  <c r="AS57" i="6" s="1"/>
  <c r="AM50" i="6"/>
  <c r="AM57" i="6" s="1"/>
  <c r="AV50" i="6"/>
  <c r="AV57" i="6" s="1"/>
  <c r="M58" i="5"/>
  <c r="H47" i="4" s="1"/>
  <c r="X57" i="6"/>
  <c r="AK50" i="6"/>
  <c r="AK57" i="6" s="1"/>
  <c r="I47" i="4" l="1"/>
  <c r="AL19" i="6"/>
  <c r="AM19" i="6" s="1"/>
  <c r="AN19" i="6" s="1"/>
  <c r="AO19" i="6" s="1"/>
  <c r="AP19" i="6" s="1"/>
  <c r="AQ19" i="6" s="1"/>
  <c r="AR19" i="6" s="1"/>
  <c r="AS19" i="6" s="1"/>
  <c r="AT19" i="6" s="1"/>
  <c r="AU19" i="6" s="1"/>
  <c r="AV19" i="6" s="1"/>
  <c r="AW19" i="6" s="1"/>
  <c r="AL18" i="6"/>
  <c r="AM18" i="6" s="1"/>
  <c r="AN18" i="6" s="1"/>
  <c r="AO18" i="6" s="1"/>
  <c r="AP18" i="6" s="1"/>
  <c r="AQ18" i="6" s="1"/>
  <c r="AR18" i="6" s="1"/>
  <c r="AS18" i="6" s="1"/>
  <c r="AT18" i="6" s="1"/>
  <c r="AU18" i="6" s="1"/>
  <c r="AV18" i="6" s="1"/>
  <c r="AW18" i="6" s="1"/>
  <c r="AL38" i="6"/>
  <c r="AM38" i="6" s="1"/>
  <c r="AN38" i="6" s="1"/>
  <c r="AO38" i="6" s="1"/>
  <c r="AP38" i="6" s="1"/>
  <c r="AQ38" i="6" s="1"/>
  <c r="AR38" i="6" s="1"/>
  <c r="AS38" i="6" s="1"/>
  <c r="AT38" i="6" s="1"/>
  <c r="AU38" i="6" s="1"/>
  <c r="AV38" i="6" s="1"/>
  <c r="AW38" i="6" s="1"/>
  <c r="AL37" i="6"/>
  <c r="AM37" i="6" s="1"/>
  <c r="AN37" i="6" s="1"/>
  <c r="AO37" i="6" s="1"/>
  <c r="AP37" i="6" s="1"/>
  <c r="AQ37" i="6" s="1"/>
  <c r="AR37" i="6" s="1"/>
  <c r="AS37" i="6" s="1"/>
  <c r="AT37" i="6" s="1"/>
  <c r="AU37" i="6" s="1"/>
  <c r="AV37" i="6" s="1"/>
  <c r="AW37" i="6" s="1"/>
  <c r="AL35" i="6"/>
  <c r="AM35" i="6" s="1"/>
  <c r="AN35" i="6" s="1"/>
  <c r="AO35" i="6" s="1"/>
  <c r="AP35" i="6" s="1"/>
  <c r="AQ35" i="6" s="1"/>
  <c r="AR35" i="6" s="1"/>
  <c r="AS35" i="6" s="1"/>
  <c r="AT35" i="6" s="1"/>
  <c r="AU35" i="6" s="1"/>
  <c r="AV35" i="6" s="1"/>
  <c r="AW35" i="6" s="1"/>
  <c r="AL36" i="6"/>
  <c r="AM36" i="6" s="1"/>
  <c r="AN36" i="6" s="1"/>
  <c r="AO36" i="6" s="1"/>
  <c r="AP36" i="6" s="1"/>
  <c r="AQ36" i="6" s="1"/>
  <c r="AR36" i="6" s="1"/>
  <c r="AS36" i="6" s="1"/>
  <c r="AT36" i="6" s="1"/>
  <c r="AU36" i="6" s="1"/>
  <c r="AV36" i="6" s="1"/>
  <c r="AW36" i="6" s="1"/>
  <c r="N80" i="6" l="1"/>
  <c r="U77" i="6" s="1"/>
  <c r="V71" i="6"/>
  <c r="F32" i="5" l="1"/>
  <c r="F35" i="5" l="1"/>
  <c r="F36" i="5" s="1"/>
  <c r="P51" i="2"/>
  <c r="P50" i="2"/>
  <c r="P49" i="2"/>
  <c r="P48" i="2"/>
  <c r="N69" i="5"/>
  <c r="M69" i="5"/>
  <c r="V73" i="6"/>
  <c r="O69" i="5"/>
  <c r="X73" i="6"/>
  <c r="W73" i="6"/>
  <c r="F37" i="5" l="1"/>
  <c r="Y58" i="2"/>
  <c r="X58" i="2"/>
  <c r="W58" i="2"/>
  <c r="V58" i="2"/>
  <c r="U58" i="2"/>
  <c r="X76" i="6" l="1"/>
  <c r="V76" i="6"/>
  <c r="W76" i="6"/>
  <c r="R79" i="6"/>
  <c r="F38" i="5"/>
  <c r="F39" i="5" s="1"/>
  <c r="U76" i="6"/>
  <c r="U79" i="6" s="1"/>
  <c r="U80" i="6" s="1"/>
  <c r="T76" i="6"/>
  <c r="T79" i="6" s="1"/>
  <c r="T80" i="6" s="1"/>
  <c r="S76" i="6"/>
  <c r="S79" i="6" s="1"/>
  <c r="S80" i="6" s="1"/>
  <c r="F40" i="5" l="1"/>
  <c r="F41" i="5" l="1"/>
  <c r="F44" i="5" s="1"/>
  <c r="Y327" i="7" l="1"/>
  <c r="F46" i="5"/>
  <c r="H46" i="5" l="1"/>
  <c r="E46" i="5"/>
  <c r="G46" i="5"/>
  <c r="M57" i="5"/>
  <c r="F118" i="5"/>
  <c r="I46" i="5" l="1"/>
  <c r="I118" i="5"/>
  <c r="I116" i="5"/>
  <c r="H118" i="5"/>
  <c r="G118" i="5"/>
  <c r="H46" i="4"/>
  <c r="I46" i="4" s="1"/>
  <c r="O57" i="5"/>
  <c r="N57" i="5"/>
  <c r="Z327" i="7"/>
  <c r="AA327" i="7" s="1"/>
  <c r="I108" i="5"/>
  <c r="I100" i="5"/>
  <c r="I92" i="5"/>
  <c r="I86" i="5"/>
  <c r="I78" i="5"/>
  <c r="I70" i="5"/>
  <c r="I62" i="5"/>
  <c r="I54" i="5"/>
  <c r="I44" i="5"/>
  <c r="I38" i="5"/>
  <c r="I30" i="5"/>
  <c r="I21" i="5"/>
  <c r="I104" i="5"/>
  <c r="I66" i="5"/>
  <c r="I19" i="5"/>
  <c r="I75" i="5"/>
  <c r="I87" i="5"/>
  <c r="I31" i="5"/>
  <c r="I82" i="5"/>
  <c r="I36" i="5"/>
  <c r="I81" i="5"/>
  <c r="I32" i="5"/>
  <c r="I101" i="5"/>
  <c r="I71" i="5"/>
  <c r="I39" i="5"/>
  <c r="I114" i="5"/>
  <c r="I105" i="5"/>
  <c r="I99" i="5"/>
  <c r="I91" i="5"/>
  <c r="I83" i="5"/>
  <c r="I77" i="5"/>
  <c r="I69" i="5"/>
  <c r="I61" i="5"/>
  <c r="I53" i="5"/>
  <c r="I43" i="5"/>
  <c r="I37" i="5"/>
  <c r="I29" i="5"/>
  <c r="I20" i="5"/>
  <c r="I90" i="5"/>
  <c r="I52" i="5"/>
  <c r="I28" i="5"/>
  <c r="I111" i="5"/>
  <c r="I103" i="5"/>
  <c r="I97" i="5"/>
  <c r="I89" i="5"/>
  <c r="I65" i="5"/>
  <c r="I57" i="5"/>
  <c r="I51" i="5"/>
  <c r="I35" i="5"/>
  <c r="I27" i="5"/>
  <c r="I18" i="5"/>
  <c r="I112" i="5"/>
  <c r="I98" i="5"/>
  <c r="I76" i="5"/>
  <c r="I60" i="5"/>
  <c r="I42" i="5"/>
  <c r="I41" i="5"/>
  <c r="I109" i="5"/>
  <c r="I63" i="5"/>
  <c r="I110" i="5"/>
  <c r="I102" i="5"/>
  <c r="I96" i="5"/>
  <c r="I88" i="5"/>
  <c r="I80" i="5"/>
  <c r="I74" i="5"/>
  <c r="I64" i="5"/>
  <c r="I56" i="5"/>
  <c r="I50" i="5"/>
  <c r="I40" i="5"/>
  <c r="I26" i="5"/>
  <c r="I93" i="5"/>
  <c r="I79" i="5"/>
  <c r="I55" i="5"/>
  <c r="I25" i="5"/>
  <c r="H48" i="4"/>
  <c r="M59" i="5"/>
  <c r="P57" i="5" s="1"/>
  <c r="AI24" i="6"/>
  <c r="AJ24" i="6" s="1"/>
  <c r="AK24" i="6" s="1"/>
  <c r="AL24" i="6" s="1"/>
  <c r="AM24" i="6" s="1"/>
  <c r="AN24" i="6" s="1"/>
  <c r="AO24" i="6" s="1"/>
  <c r="AP24" i="6" s="1"/>
  <c r="AQ24" i="6" s="1"/>
  <c r="AR24" i="6" s="1"/>
  <c r="AS24" i="6" s="1"/>
  <c r="AT24" i="6" s="1"/>
  <c r="AU24" i="6" s="1"/>
  <c r="AV24" i="6" s="1"/>
  <c r="AW24" i="6" s="1"/>
  <c r="AI28" i="6"/>
  <c r="AJ28" i="6" s="1"/>
  <c r="AK28" i="6" s="1"/>
  <c r="AL28" i="6" s="1"/>
  <c r="AM28" i="6" s="1"/>
  <c r="AN28" i="6" s="1"/>
  <c r="AO28" i="6" s="1"/>
  <c r="AP28" i="6" s="1"/>
  <c r="AQ28" i="6" s="1"/>
  <c r="AR28" i="6" s="1"/>
  <c r="AS28" i="6" s="1"/>
  <c r="AT28" i="6" s="1"/>
  <c r="AU28" i="6" s="1"/>
  <c r="AV28" i="6" s="1"/>
  <c r="AW28" i="6" s="1"/>
  <c r="AI25" i="6"/>
  <c r="AJ25" i="6" s="1"/>
  <c r="AK25" i="6" s="1"/>
  <c r="AL25" i="6" s="1"/>
  <c r="AM25" i="6" s="1"/>
  <c r="AN25" i="6" s="1"/>
  <c r="AO25" i="6" s="1"/>
  <c r="AP25" i="6" s="1"/>
  <c r="AQ25" i="6" s="1"/>
  <c r="AR25" i="6" s="1"/>
  <c r="AS25" i="6" s="1"/>
  <c r="AT25" i="6" s="1"/>
  <c r="AU25" i="6" s="1"/>
  <c r="AV25" i="6" s="1"/>
  <c r="AW25" i="6" s="1"/>
  <c r="AI34" i="6"/>
  <c r="AJ34" i="6" s="1"/>
  <c r="AK34" i="6" s="1"/>
  <c r="AL34" i="6" s="1"/>
  <c r="AM34" i="6" s="1"/>
  <c r="AN34" i="6" s="1"/>
  <c r="AO34" i="6" s="1"/>
  <c r="AP34" i="6" s="1"/>
  <c r="AQ34" i="6" s="1"/>
  <c r="AR34" i="6" s="1"/>
  <c r="AS34" i="6" s="1"/>
  <c r="AT34" i="6" s="1"/>
  <c r="AU34" i="6" s="1"/>
  <c r="AV34" i="6" s="1"/>
  <c r="AW34" i="6" s="1"/>
  <c r="AI33" i="6"/>
  <c r="AJ33" i="6" s="1"/>
  <c r="AK33" i="6" s="1"/>
  <c r="AL33" i="6" s="1"/>
  <c r="AM33" i="6" s="1"/>
  <c r="AN33" i="6" s="1"/>
  <c r="AO33" i="6" s="1"/>
  <c r="AP33" i="6" s="1"/>
  <c r="AQ33" i="6" s="1"/>
  <c r="AR33" i="6" s="1"/>
  <c r="AS33" i="6" s="1"/>
  <c r="AT33" i="6" s="1"/>
  <c r="AU33" i="6" s="1"/>
  <c r="AV33" i="6" s="1"/>
  <c r="AW33" i="6" s="1"/>
  <c r="AI26" i="6"/>
  <c r="AJ26" i="6" s="1"/>
  <c r="AK26" i="6" s="1"/>
  <c r="AL26" i="6" s="1"/>
  <c r="AM26" i="6" s="1"/>
  <c r="AN26" i="6" s="1"/>
  <c r="AO26" i="6" s="1"/>
  <c r="AP26" i="6" s="1"/>
  <c r="AQ26" i="6" s="1"/>
  <c r="AR26" i="6" s="1"/>
  <c r="AS26" i="6" s="1"/>
  <c r="AT26" i="6" s="1"/>
  <c r="AU26" i="6" s="1"/>
  <c r="AV26" i="6" s="1"/>
  <c r="AW26" i="6" s="1"/>
  <c r="AI29" i="6"/>
  <c r="AJ29" i="6" s="1"/>
  <c r="AK29" i="6" s="1"/>
  <c r="AL29" i="6" s="1"/>
  <c r="AM29" i="6" s="1"/>
  <c r="AN29" i="6" s="1"/>
  <c r="AO29" i="6" s="1"/>
  <c r="AP29" i="6" s="1"/>
  <c r="AQ29" i="6" s="1"/>
  <c r="AR29" i="6" s="1"/>
  <c r="AS29" i="6" s="1"/>
  <c r="AT29" i="6" s="1"/>
  <c r="AU29" i="6" s="1"/>
  <c r="AV29" i="6" s="1"/>
  <c r="AW29" i="6" s="1"/>
  <c r="AI31" i="6"/>
  <c r="AJ31" i="6" s="1"/>
  <c r="AK31" i="6" s="1"/>
  <c r="AL31" i="6" s="1"/>
  <c r="AM31" i="6" s="1"/>
  <c r="AN31" i="6" s="1"/>
  <c r="AO31" i="6" s="1"/>
  <c r="AP31" i="6" s="1"/>
  <c r="AQ31" i="6" s="1"/>
  <c r="AR31" i="6" s="1"/>
  <c r="AS31" i="6" s="1"/>
  <c r="AT31" i="6" s="1"/>
  <c r="AU31" i="6" s="1"/>
  <c r="AV31" i="6" s="1"/>
  <c r="AW31" i="6" s="1"/>
  <c r="AI27" i="6"/>
  <c r="AJ27" i="6" s="1"/>
  <c r="AK27" i="6" s="1"/>
  <c r="AL27" i="6" s="1"/>
  <c r="AM27" i="6" s="1"/>
  <c r="AN27" i="6" s="1"/>
  <c r="AO27" i="6" s="1"/>
  <c r="AP27" i="6" s="1"/>
  <c r="AQ27" i="6" s="1"/>
  <c r="AR27" i="6" s="1"/>
  <c r="AS27" i="6" s="1"/>
  <c r="AT27" i="6" s="1"/>
  <c r="AU27" i="6" s="1"/>
  <c r="AV27" i="6" s="1"/>
  <c r="AW27" i="6" s="1"/>
  <c r="AI30" i="6"/>
  <c r="AJ30" i="6" s="1"/>
  <c r="AK30" i="6" s="1"/>
  <c r="AL30" i="6" s="1"/>
  <c r="AM30" i="6" s="1"/>
  <c r="AN30" i="6" s="1"/>
  <c r="AO30" i="6" s="1"/>
  <c r="AP30" i="6" s="1"/>
  <c r="AQ30" i="6" s="1"/>
  <c r="AR30" i="6" s="1"/>
  <c r="AS30" i="6" s="1"/>
  <c r="AT30" i="6" s="1"/>
  <c r="AU30" i="6" s="1"/>
  <c r="AV30" i="6" s="1"/>
  <c r="AW30" i="6" s="1"/>
  <c r="D40" i="4"/>
  <c r="AB327" i="7" l="1"/>
  <c r="AC327" i="7"/>
  <c r="AD327" i="7" s="1"/>
  <c r="P58" i="5"/>
  <c r="P44" i="5"/>
  <c r="P38" i="5"/>
  <c r="P30" i="5"/>
  <c r="P24" i="5"/>
  <c r="P18" i="5"/>
  <c r="P51" i="5"/>
  <c r="P39" i="5"/>
  <c r="P31" i="5"/>
  <c r="P19" i="5"/>
  <c r="O59" i="5"/>
  <c r="P59" i="5"/>
  <c r="P49" i="5"/>
  <c r="P43" i="5"/>
  <c r="P29" i="5"/>
  <c r="P23" i="5"/>
  <c r="P25" i="5"/>
  <c r="P45" i="5"/>
  <c r="P56" i="5"/>
  <c r="P48" i="5"/>
  <c r="P42" i="5"/>
  <c r="P34" i="5"/>
  <c r="P28" i="5"/>
  <c r="P22" i="5"/>
  <c r="P47" i="5"/>
  <c r="P41" i="5"/>
  <c r="P33" i="5"/>
  <c r="P27" i="5"/>
  <c r="P21" i="5"/>
  <c r="P52" i="5"/>
  <c r="P46" i="5"/>
  <c r="P40" i="5"/>
  <c r="P26" i="5"/>
  <c r="P20" i="5"/>
  <c r="N59" i="5"/>
  <c r="J48" i="4"/>
  <c r="I48" i="4"/>
  <c r="J45" i="4"/>
  <c r="J47" i="4"/>
  <c r="J46" i="4"/>
  <c r="M32" i="5"/>
  <c r="M50" i="5"/>
  <c r="P58" i="6"/>
  <c r="H31" i="4" l="1"/>
  <c r="I31" i="4" s="1"/>
  <c r="P32" i="5"/>
  <c r="O32" i="5"/>
  <c r="N32" i="5"/>
  <c r="AE327" i="7"/>
  <c r="H41" i="4"/>
  <c r="I41" i="4" s="1"/>
  <c r="P50" i="5"/>
  <c r="O50" i="5"/>
  <c r="N50" i="5"/>
  <c r="S48" i="6"/>
  <c r="S42" i="6"/>
  <c r="S28" i="6"/>
  <c r="S22" i="6"/>
  <c r="S29" i="6"/>
  <c r="S17" i="6"/>
  <c r="S55" i="6"/>
  <c r="S47" i="6"/>
  <c r="S41" i="6"/>
  <c r="S33" i="6"/>
  <c r="S27" i="6"/>
  <c r="S21" i="6"/>
  <c r="S37" i="6"/>
  <c r="S57" i="6"/>
  <c r="S23" i="6"/>
  <c r="S46" i="6"/>
  <c r="S40" i="6"/>
  <c r="S32" i="6"/>
  <c r="S26" i="6"/>
  <c r="S20" i="6"/>
  <c r="S51" i="6"/>
  <c r="S45" i="6"/>
  <c r="S39" i="6"/>
  <c r="S25" i="6"/>
  <c r="S19" i="6"/>
  <c r="S58" i="6"/>
  <c r="S50" i="6"/>
  <c r="S44" i="6"/>
  <c r="S38" i="6"/>
  <c r="S30" i="6"/>
  <c r="S24" i="6"/>
  <c r="S18" i="6"/>
  <c r="R58" i="6"/>
  <c r="S43" i="6"/>
  <c r="S56" i="6"/>
  <c r="Q58" i="6"/>
  <c r="N73" i="5"/>
  <c r="N76" i="5" s="1"/>
  <c r="N79" i="5" s="1"/>
  <c r="N80" i="5" s="1"/>
  <c r="O73" i="5"/>
  <c r="O76" i="5" s="1"/>
  <c r="O79" i="5" s="1"/>
  <c r="O80" i="5" s="1"/>
  <c r="M51" i="4"/>
  <c r="N51" i="4" s="1"/>
  <c r="O51" i="4" s="1"/>
  <c r="P51" i="4" s="1"/>
  <c r="Q51" i="4" s="1"/>
  <c r="R51" i="4" s="1"/>
  <c r="S51" i="4" s="1"/>
  <c r="T51" i="4" s="1"/>
  <c r="U51" i="4" s="1"/>
  <c r="V51" i="4" s="1"/>
  <c r="W51" i="4" s="1"/>
  <c r="X51" i="4" s="1"/>
  <c r="Y51" i="4" s="1"/>
  <c r="Z51" i="4" s="1"/>
  <c r="AA51" i="4" s="1"/>
  <c r="M35" i="5"/>
  <c r="M53" i="5"/>
  <c r="P49" i="6"/>
  <c r="P31" i="6"/>
  <c r="H32" i="4" l="1"/>
  <c r="J28" i="4" s="1"/>
  <c r="H42" i="4"/>
  <c r="J42" i="4" s="1"/>
  <c r="S49" i="6"/>
  <c r="R49" i="6"/>
  <c r="Q49" i="6"/>
  <c r="O53" i="5"/>
  <c r="P53" i="5"/>
  <c r="N53" i="5"/>
  <c r="S31" i="6"/>
  <c r="R31" i="6"/>
  <c r="Q31" i="6"/>
  <c r="P35" i="5"/>
  <c r="O35" i="5"/>
  <c r="N35" i="5"/>
  <c r="J29" i="4"/>
  <c r="J30" i="4"/>
  <c r="J24" i="4"/>
  <c r="J25" i="4"/>
  <c r="J26" i="4"/>
  <c r="J27" i="4"/>
  <c r="I32" i="4"/>
  <c r="J31" i="4"/>
  <c r="J35" i="4"/>
  <c r="M73" i="5"/>
  <c r="M74" i="5" s="1"/>
  <c r="M76" i="5" s="1"/>
  <c r="M79" i="5" s="1"/>
  <c r="M80" i="5" s="1"/>
  <c r="X17" i="6"/>
  <c r="H33" i="4"/>
  <c r="M36" i="5"/>
  <c r="M54" i="5"/>
  <c r="P34" i="6"/>
  <c r="P52" i="6"/>
  <c r="H43" i="4" l="1"/>
  <c r="J32" i="4"/>
  <c r="J41" i="4"/>
  <c r="J39" i="4"/>
  <c r="I42" i="4"/>
  <c r="J40" i="4"/>
  <c r="J38" i="4"/>
  <c r="J37" i="4"/>
  <c r="J36" i="4"/>
  <c r="R52" i="6"/>
  <c r="S52" i="6"/>
  <c r="Q52" i="6"/>
  <c r="S34" i="6"/>
  <c r="R34" i="6"/>
  <c r="Q34" i="6"/>
  <c r="Z17" i="6"/>
  <c r="Y17" i="6"/>
  <c r="AI17" i="6"/>
  <c r="X20" i="6"/>
  <c r="P35" i="6"/>
  <c r="P53" i="6"/>
  <c r="Z41" i="2"/>
  <c r="Z42" i="2"/>
  <c r="Z43" i="2"/>
  <c r="Z44" i="2"/>
  <c r="Z45" i="2"/>
  <c r="Z46" i="2"/>
  <c r="Z47" i="2"/>
  <c r="Z48" i="2"/>
  <c r="Z49" i="2"/>
  <c r="Z50" i="2"/>
  <c r="Z51" i="2"/>
  <c r="Z52" i="2"/>
  <c r="Z53" i="2"/>
  <c r="Z54" i="2"/>
  <c r="Z55" i="2"/>
  <c r="Z56" i="2"/>
  <c r="Z57" i="2"/>
  <c r="AA28" i="6" l="1"/>
  <c r="AA50" i="6"/>
  <c r="AA46" i="6"/>
  <c r="AA35" i="6"/>
  <c r="AA31" i="6"/>
  <c r="AA27" i="6"/>
  <c r="AA37" i="6"/>
  <c r="AA25" i="6"/>
  <c r="AA24" i="6"/>
  <c r="AA49" i="6"/>
  <c r="AA38" i="6"/>
  <c r="AA34" i="6"/>
  <c r="AA30" i="6"/>
  <c r="AA26" i="6"/>
  <c r="AA20" i="6"/>
  <c r="Y20" i="6"/>
  <c r="AA33" i="6"/>
  <c r="AA29" i="6"/>
  <c r="AA19" i="6"/>
  <c r="AA47" i="6"/>
  <c r="AA36" i="6"/>
  <c r="AA18" i="6"/>
  <c r="Z20" i="6"/>
  <c r="AA48" i="6"/>
  <c r="AA17" i="6"/>
  <c r="X23" i="6"/>
  <c r="AJ17" i="6"/>
  <c r="AI20" i="6"/>
  <c r="AI23" i="6" s="1"/>
  <c r="AI39" i="6" s="1"/>
  <c r="W78" i="6" l="1"/>
  <c r="W79" i="6" s="1"/>
  <c r="W80" i="6" s="1"/>
  <c r="X78" i="6"/>
  <c r="X79" i="6" s="1"/>
  <c r="X80" i="6" s="1"/>
  <c r="AA23" i="6"/>
  <c r="Z23" i="6"/>
  <c r="Y23" i="6"/>
  <c r="V78" i="6"/>
  <c r="V79" i="6" s="1"/>
  <c r="AK17" i="6"/>
  <c r="AJ20" i="6"/>
  <c r="AJ23" i="6" s="1"/>
  <c r="X39" i="6"/>
  <c r="AA39" i="6" l="1"/>
  <c r="Z39" i="6"/>
  <c r="Y39" i="6"/>
  <c r="V80" i="6"/>
  <c r="X32" i="6"/>
  <c r="AJ39" i="6"/>
  <c r="AL17" i="6"/>
  <c r="AK20" i="6"/>
  <c r="AK23" i="6" s="1"/>
  <c r="AI32" i="6" l="1"/>
  <c r="AJ32" i="6" s="1"/>
  <c r="AK32" i="6" s="1"/>
  <c r="AL32" i="6" s="1"/>
  <c r="AM32" i="6" s="1"/>
  <c r="AN32" i="6" s="1"/>
  <c r="AO32" i="6" s="1"/>
  <c r="AP32" i="6" s="1"/>
  <c r="AQ32" i="6" s="1"/>
  <c r="AR32" i="6" s="1"/>
  <c r="AS32" i="6" s="1"/>
  <c r="AT32" i="6" s="1"/>
  <c r="AU32" i="6" s="1"/>
  <c r="AV32" i="6" s="1"/>
  <c r="AW32" i="6" s="1"/>
  <c r="Y32" i="6"/>
  <c r="AA32" i="6"/>
  <c r="Z32" i="6"/>
  <c r="X40" i="6"/>
  <c r="AK39" i="6"/>
  <c r="AM17" i="6"/>
  <c r="AL20" i="6"/>
  <c r="AL23" i="6" s="1"/>
  <c r="AA40" i="6" l="1"/>
  <c r="Y40" i="6"/>
  <c r="Z40" i="6"/>
  <c r="X42" i="6"/>
  <c r="AI40" i="6"/>
  <c r="AI42" i="6" s="1"/>
  <c r="AL39" i="6"/>
  <c r="AN17" i="6"/>
  <c r="AM20" i="6"/>
  <c r="AM23" i="6" s="1"/>
  <c r="Z42" i="6" l="1"/>
  <c r="X52" i="6"/>
  <c r="Y42" i="6"/>
  <c r="AA42" i="6"/>
  <c r="AM39" i="6"/>
  <c r="X55" i="6"/>
  <c r="X43" i="6"/>
  <c r="AO17" i="6"/>
  <c r="AN20" i="6"/>
  <c r="AN23" i="6" s="1"/>
  <c r="AI55" i="6"/>
  <c r="AI43" i="6"/>
  <c r="AI52" i="6"/>
  <c r="AI56" i="6" s="1"/>
  <c r="AJ40" i="6"/>
  <c r="AJ42" i="6" s="1"/>
  <c r="Z52" i="6" l="1"/>
  <c r="AA52" i="6"/>
  <c r="Y52" i="6"/>
  <c r="AN39" i="6"/>
  <c r="AP17" i="6"/>
  <c r="AO20" i="6"/>
  <c r="AO23" i="6" s="1"/>
  <c r="X56" i="6"/>
  <c r="AJ43" i="6"/>
  <c r="AJ52" i="6"/>
  <c r="AJ56" i="6" s="1"/>
  <c r="AJ55" i="6"/>
  <c r="AK40" i="6"/>
  <c r="AK42" i="6" s="1"/>
  <c r="AL40" i="6" l="1"/>
  <c r="AL42" i="6" s="1"/>
  <c r="AO39" i="6"/>
  <c r="AQ17" i="6"/>
  <c r="AP20" i="6"/>
  <c r="AP23" i="6" s="1"/>
  <c r="AK55" i="6"/>
  <c r="AK52" i="6"/>
  <c r="AK56" i="6" s="1"/>
  <c r="AK43" i="6"/>
  <c r="AP39" i="6" l="1"/>
  <c r="AR17" i="6"/>
  <c r="AQ20" i="6"/>
  <c r="AQ23" i="6" s="1"/>
  <c r="AL55" i="6"/>
  <c r="AL43" i="6"/>
  <c r="AL52" i="6"/>
  <c r="AL56" i="6" s="1"/>
  <c r="AM40" i="6"/>
  <c r="AM42" i="6" s="1"/>
  <c r="AM43" i="6" l="1"/>
  <c r="AM52" i="6"/>
  <c r="AM56" i="6" s="1"/>
  <c r="AM55" i="6"/>
  <c r="AN40" i="6"/>
  <c r="AN42" i="6" s="1"/>
  <c r="AQ39" i="6"/>
  <c r="AS17" i="6"/>
  <c r="AR20" i="6"/>
  <c r="AR23" i="6" s="1"/>
  <c r="AR39" i="6" l="1"/>
  <c r="AO40" i="6"/>
  <c r="AO42" i="6" s="1"/>
  <c r="AT17" i="6"/>
  <c r="AS20" i="6"/>
  <c r="AS23" i="6" s="1"/>
  <c r="AN55" i="6"/>
  <c r="AN43" i="6"/>
  <c r="AN52" i="6"/>
  <c r="AN56" i="6" s="1"/>
  <c r="AO55" i="6" l="1"/>
  <c r="AO43" i="6"/>
  <c r="AO52" i="6"/>
  <c r="AO56" i="6" s="1"/>
  <c r="AS39" i="6"/>
  <c r="AU17" i="6"/>
  <c r="AT20" i="6"/>
  <c r="AT23" i="6" s="1"/>
  <c r="AP40" i="6"/>
  <c r="AP42" i="6" s="1"/>
  <c r="AQ40" i="6" l="1"/>
  <c r="AQ42" i="6" s="1"/>
  <c r="AP52" i="6"/>
  <c r="AP56" i="6" s="1"/>
  <c r="AP55" i="6"/>
  <c r="AP43" i="6"/>
  <c r="AT39" i="6"/>
  <c r="AV17" i="6"/>
  <c r="AU20" i="6"/>
  <c r="AU23" i="6" s="1"/>
  <c r="AU39" i="6" l="1"/>
  <c r="AW17" i="6"/>
  <c r="AW20" i="6" s="1"/>
  <c r="AW23" i="6" s="1"/>
  <c r="AV20" i="6"/>
  <c r="AV23" i="6" s="1"/>
  <c r="AQ55" i="6"/>
  <c r="AQ43" i="6"/>
  <c r="AQ52" i="6"/>
  <c r="AQ56" i="6" s="1"/>
  <c r="AR40" i="6"/>
  <c r="AR42" i="6" s="1"/>
  <c r="AR43" i="6" l="1"/>
  <c r="AR52" i="6"/>
  <c r="AR56" i="6" s="1"/>
  <c r="AR55" i="6"/>
  <c r="AS40" i="6"/>
  <c r="AS42" i="6" s="1"/>
  <c r="AV39" i="6"/>
  <c r="AW39" i="6"/>
  <c r="AS43" i="6" l="1"/>
  <c r="AS55" i="6"/>
  <c r="AS52" i="6"/>
  <c r="AS56" i="6" s="1"/>
  <c r="AT40" i="6"/>
  <c r="AT42" i="6" s="1"/>
  <c r="AU40" i="6" l="1"/>
  <c r="AU42" i="6" s="1"/>
  <c r="AT52" i="6"/>
  <c r="AT56" i="6" s="1"/>
  <c r="AT43" i="6"/>
  <c r="AT55" i="6"/>
  <c r="AU52" i="6" l="1"/>
  <c r="AU56" i="6" s="1"/>
  <c r="AU43" i="6"/>
  <c r="AU55" i="6"/>
  <c r="AW40" i="6"/>
  <c r="AW42" i="6" s="1"/>
  <c r="AV40" i="6"/>
  <c r="AV42" i="6" s="1"/>
  <c r="AV55" i="6" l="1"/>
  <c r="AF55" i="6" s="1"/>
  <c r="AV52" i="6"/>
  <c r="AV56" i="6" s="1"/>
  <c r="AF56" i="6" s="1"/>
  <c r="AV43" i="6"/>
  <c r="AW55" i="6"/>
  <c r="AW52" i="6"/>
  <c r="AW56" i="6" s="1"/>
  <c r="AW43" i="6"/>
  <c r="AF58" i="6" l="1"/>
  <c r="X327" i="7"/>
  <c r="O3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Owen.Laverty</author>
    <author>Michele Oberholtzer</author>
  </authors>
  <commentList>
    <comment ref="D12" authorId="0" shapeId="0" xr:uid="{B9F06AF5-54F8-42DC-9153-45B54032F29A}">
      <text>
        <r>
          <rPr>
            <b/>
            <sz val="9"/>
            <color indexed="81"/>
            <rFont val="Tahoma"/>
            <family val="2"/>
          </rPr>
          <t xml:space="preserve">Note:
</t>
        </r>
        <r>
          <rPr>
            <sz val="9"/>
            <color indexed="81"/>
            <rFont val="Tahoma"/>
            <family val="2"/>
          </rPr>
          <t>Select "Long-Term Vacant Rehab" if vacant for at least 5 years; Select "Short-Term Vacant Rehab" if vacant for less than 5 years</t>
        </r>
      </text>
    </comment>
    <comment ref="D14" authorId="1" shapeId="0" xr:uid="{078F5D47-7CE0-4B86-ABD9-A8B75735B7E2}">
      <text>
        <r>
          <rPr>
            <sz val="11"/>
            <color theme="1"/>
            <rFont val="Calibri"/>
            <family val="2"/>
            <scheme val="minor"/>
          </rPr>
          <t>Government-Aided Housing Project means a Housing Project owned by a "non profit housing corporation," "consumer housing cooperative," "limited dividend housing corporation," "mobile home part corporation," or "mobile home part association" (each as defined by the Act) that is financed with a federally-aided or Authority-aided mortgage or advance or grant from the Authority.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tc={7090AA4C-D5EF-4F02-9FE7-07B69351293F}</author>
    <author>Michele Oberholtzer</author>
  </authors>
  <commentList>
    <comment ref="AD13" authorId="0" shapeId="0" xr:uid="{7090AA4C-D5EF-4F02-9FE7-07B69351293F}">
      <text>
        <t>[Threaded comment]
Your version of Excel allows you to read this threaded comment; however, any edits to it will get removed if the file is opened in a newer version of Excel. Learn more: https://go.microsoft.com/fwlink/?linkid=870924
Comment:
    Enter as a negative value</t>
      </text>
    </comment>
    <comment ref="C22" authorId="1" shapeId="0" xr:uid="{D97AADB2-8882-4FE9-BBC0-16493B64B8A0}">
      <text>
        <r>
          <rPr>
            <sz val="11"/>
            <color theme="1"/>
            <rFont val="Calibri"/>
            <family val="2"/>
            <scheme val="minor"/>
          </rPr>
          <t>Input a descriptor for the unit such as "1a," if entering unit-by-unit, or "Small one-bedroom" if entering by unit type.</t>
        </r>
      </text>
    </comment>
    <comment ref="J22" authorId="1" shapeId="0" xr:uid="{356462C2-E1B9-46EB-AF77-EE75F957A3AA}">
      <text>
        <r>
          <rPr>
            <sz val="11"/>
            <color theme="1"/>
            <rFont val="Calibri"/>
            <family val="2"/>
            <scheme val="minor"/>
          </rPr>
          <t>Enter the unit restriction for each individual unit, whether none ("market"), PSH, or income-restricted. Units that will have a Project-Based Voucher should be listed "PBV Income-Restricted"</t>
        </r>
      </text>
    </comment>
    <comment ref="K22" authorId="1" shapeId="0" xr:uid="{C820BB99-4D35-424D-9652-359EA33EA460}">
      <text>
        <r>
          <rPr>
            <sz val="11"/>
            <color theme="1"/>
            <rFont val="Calibri"/>
            <family val="2"/>
            <scheme val="minor"/>
          </rPr>
          <t>For each income-restricted unit, enter the max AMI that the unit will be restricted to. PSH units, indicate "PSH" and unrestricted units, indicate "None-Market"</t>
        </r>
      </text>
    </comment>
    <comment ref="L22" authorId="1" shapeId="0" xr:uid="{66549A29-DDA7-4234-996F-33CA07A3A9F6}">
      <text>
        <r>
          <rPr>
            <sz val="11"/>
            <color theme="1"/>
            <rFont val="Calibri"/>
            <family val="2"/>
            <scheme val="minor"/>
          </rPr>
          <t>"MSHDA AMI" is default for value restricted units</t>
        </r>
      </text>
    </comment>
    <comment ref="M22" authorId="1" shapeId="0" xr:uid="{A3C16534-2421-4F4F-B142-04461D345BBA}">
      <text>
        <r>
          <rPr>
            <sz val="11"/>
            <color theme="1"/>
            <rFont val="Calibri"/>
            <family val="2"/>
            <scheme val="minor"/>
          </rPr>
          <t>Enter most recent known household income of current tenant. Leave blank if unknown.</t>
        </r>
      </text>
    </comment>
    <comment ref="N22" authorId="1" shapeId="0" xr:uid="{A9FDDA0A-2D3A-4DCD-84AC-17564927D47E}">
      <text>
        <r>
          <rPr>
            <sz val="11"/>
            <color theme="1"/>
            <rFont val="Calibri"/>
            <family val="2"/>
            <scheme val="minor"/>
          </rPr>
          <t>Enter number of people in the unit at the time the "current household income" was determined.</t>
        </r>
      </text>
    </comment>
    <comment ref="P22" authorId="1" shapeId="0" xr:uid="{F8A96607-90F6-4273-8736-D08AB4B5DF18}">
      <text>
        <r>
          <rPr>
            <sz val="11"/>
            <color theme="1"/>
            <rFont val="Calibri"/>
            <family val="2"/>
            <scheme val="minor"/>
          </rPr>
          <t xml:space="preserve">Enter "Y" if the current rent is </t>
        </r>
      </text>
    </comment>
    <comment ref="AC22" authorId="1" shapeId="0" xr:uid="{833CC29D-40FD-402A-99DD-78EBFC3B2EFA}">
      <text>
        <r>
          <rPr>
            <sz val="11"/>
            <color theme="1"/>
            <rFont val="Calibri"/>
            <family val="2"/>
            <scheme val="minor"/>
          </rPr>
          <t>The lesser of the Max Allowable Rent based on unit restriction, the proposed initial lease rent, and allowable rent based on tenant retention if unit is occupied.</t>
        </r>
      </text>
    </comment>
    <comment ref="AF22" authorId="1" shapeId="0" xr:uid="{B1EB8D86-941E-4AB8-BC91-D7106FB715AF}">
      <text>
        <r>
          <rPr>
            <sz val="11"/>
            <color theme="1"/>
            <rFont val="Calibri"/>
            <family val="2"/>
            <scheme val="minor"/>
          </rPr>
          <t>Will be interpreted by HRD Tenant Retention Standards team. If "N," changes may be requested.</t>
        </r>
      </text>
    </comment>
    <comment ref="AG22" authorId="1" shapeId="0" xr:uid="{AF787AB6-DD32-4609-8521-507DC2C027CD}">
      <text>
        <r>
          <rPr>
            <sz val="11"/>
            <color theme="1"/>
            <rFont val="Calibri"/>
            <family val="2"/>
            <scheme val="minor"/>
          </rPr>
          <t>Will be interpreted by HRD Tenant Retention Standards team. If "N," changes may be requested.</t>
        </r>
      </text>
    </comment>
    <comment ref="AH22" authorId="1" shapeId="0" xr:uid="{FE6A3A56-75FE-40E1-8030-9BA5BF1A429A}">
      <text>
        <r>
          <rPr>
            <sz val="11"/>
            <color theme="1"/>
            <rFont val="Calibri"/>
            <family val="2"/>
            <scheme val="minor"/>
          </rPr>
          <t>Will be interpreted by HRD Tenant Retention Standards team. If "N," changes may be requested.</t>
        </r>
      </text>
    </comment>
    <comment ref="AI22" authorId="1" shapeId="0" xr:uid="{A3313480-033A-4054-9431-0F7DC0BB5886}">
      <text>
        <r>
          <rPr>
            <sz val="11"/>
            <color theme="1"/>
            <rFont val="Calibri"/>
            <family val="2"/>
            <scheme val="minor"/>
          </rPr>
          <t>Will be interpreted by HRD Tenant Retention Standards team. If "N," changes may be requested.</t>
        </r>
      </text>
    </comment>
    <comment ref="AJ22" authorId="1" shapeId="0" xr:uid="{3B404339-D8B4-4767-A12B-B80B79D5C4D6}">
      <text>
        <r>
          <rPr>
            <sz val="11"/>
            <color theme="1"/>
            <rFont val="Calibri"/>
            <family val="2"/>
            <scheme val="minor"/>
          </rPr>
          <t>Will be interpreted by HRD Tenant Retention Standards team. If "N," changes may be requested.</t>
        </r>
      </text>
    </comment>
    <comment ref="AK22" authorId="1" shapeId="0" xr:uid="{502437C2-4D6F-499A-B24B-7D24C3183C53}">
      <text>
        <r>
          <rPr>
            <sz val="11"/>
            <color theme="1"/>
            <rFont val="Calibri"/>
            <family val="2"/>
            <scheme val="minor"/>
          </rPr>
          <t>Will be interpreted by HRD Tenant Retention Standards team. If "N," changes may be requested.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Michele Oberholtzer</author>
  </authors>
  <commentList>
    <comment ref="K75" authorId="0" shapeId="0" xr:uid="{3085A5C4-3F2A-40C2-8B79-A6353AC53E59}">
      <text>
        <r>
          <rPr>
            <sz val="11"/>
            <color theme="1"/>
            <rFont val="Calibri"/>
            <family val="2"/>
            <scheme val="minor"/>
          </rPr>
          <t>Estimate of annual owner-paid utilities per unit.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Jake.Austermann</author>
  </authors>
  <commentList>
    <comment ref="M80" authorId="0" shapeId="0" xr:uid="{9E6B2EB1-2336-4429-B525-E258402F62A7}">
      <text>
        <r>
          <rPr>
            <b/>
            <sz val="9"/>
            <color indexed="81"/>
            <rFont val="Tahoma"/>
            <family val="2"/>
          </rPr>
          <t>HRD:</t>
        </r>
        <r>
          <rPr>
            <sz val="9"/>
            <color indexed="81"/>
            <rFont val="Tahoma"/>
            <family val="2"/>
          </rPr>
          <t xml:space="preserve">
Developer Should Diligence Recently Assessed Comparable Projects &amp; Input Assumption for Tax Analysis - This Assumption Cannot Be Provided By HRD Nor Relied Upon By Any Third-Party</t>
        </r>
      </text>
    </comment>
  </commentList>
</comments>
</file>

<file path=xl/sharedStrings.xml><?xml version="1.0" encoding="utf-8"?>
<sst xmlns="http://schemas.openxmlformats.org/spreadsheetml/2006/main" count="3929" uniqueCount="480">
  <si>
    <t>City of Detroit Housing &amp; Revitalization Department</t>
  </si>
  <si>
    <t>Project Overview</t>
  </si>
  <si>
    <r>
      <rPr>
        <b/>
        <sz val="10"/>
        <color rgb="FF000000"/>
        <rFont val="Calibri"/>
        <family val="2"/>
        <scheme val="minor"/>
      </rPr>
      <t>Instructions:</t>
    </r>
    <r>
      <rPr>
        <sz val="10"/>
        <color rgb="FF000000"/>
        <rFont val="Calibri"/>
        <family val="2"/>
        <scheme val="minor"/>
      </rPr>
      <t xml:space="preserve">                                                                                                                                                                                                                                                                                                                                                            This tab determines the PILOT program applicable to your project and provides a high-level summary of the development information, sources &amp; uses, and unit mix. Answer all yellow highlighted fields in "project screening" and "development overview" sections, and continue to the next tabs.</t>
    </r>
  </si>
  <si>
    <t>Color Index:</t>
  </si>
  <si>
    <r>
      <rPr>
        <b/>
        <sz val="10"/>
        <color rgb="FF0000FF"/>
        <rFont val="Calibri"/>
        <family val="2"/>
        <scheme val="minor"/>
      </rPr>
      <t>Blue</t>
    </r>
    <r>
      <rPr>
        <sz val="10"/>
        <color theme="1"/>
        <rFont val="Calibri"/>
        <family val="2"/>
        <scheme val="minor"/>
      </rPr>
      <t xml:space="preserve"> = Input</t>
    </r>
  </si>
  <si>
    <r>
      <rPr>
        <b/>
        <sz val="10"/>
        <color rgb="FF009900"/>
        <rFont val="Calibri"/>
        <family val="2"/>
        <scheme val="minor"/>
      </rPr>
      <t>Green</t>
    </r>
    <r>
      <rPr>
        <sz val="10"/>
        <color theme="1"/>
        <rFont val="Calibri"/>
        <family val="2"/>
        <scheme val="minor"/>
      </rPr>
      <t xml:space="preserve"> = Lookup</t>
    </r>
  </si>
  <si>
    <r>
      <rPr>
        <b/>
        <sz val="10"/>
        <color theme="1"/>
        <rFont val="Calibri"/>
        <family val="2"/>
        <scheme val="minor"/>
      </rPr>
      <t>Black</t>
    </r>
    <r>
      <rPr>
        <sz val="10"/>
        <color theme="1"/>
        <rFont val="Calibri"/>
        <family val="2"/>
        <scheme val="minor"/>
      </rPr>
      <t xml:space="preserve"> = Calculation</t>
    </r>
  </si>
  <si>
    <t>Project Screening Questions</t>
  </si>
  <si>
    <t>City of Detroit HRD PILOT Rates</t>
  </si>
  <si>
    <t>What Is The Project Type?</t>
  </si>
  <si>
    <t>Average % AMI</t>
  </si>
  <si>
    <t>Standard Rate</t>
  </si>
  <si>
    <t>Long-Term Vacant Rate</t>
  </si>
  <si>
    <t>What Is The Average AMI?</t>
  </si>
  <si>
    <t>Is this a Government-Aided housing project?</t>
  </si>
  <si>
    <t>What Is The Type of Residential Project?</t>
  </si>
  <si>
    <t>TBD</t>
  </si>
  <si>
    <t>What is the construction status?</t>
  </si>
  <si>
    <t>PILOT Program Category</t>
  </si>
  <si>
    <t>Up to 60% AMI</t>
  </si>
  <si>
    <t>PILOT Rate</t>
  </si>
  <si>
    <t>Development Overview</t>
  </si>
  <si>
    <t>Sources &amp; Uses</t>
  </si>
  <si>
    <t>Unit Mix Summary</t>
  </si>
  <si>
    <t>Item</t>
  </si>
  <si>
    <t>Input</t>
  </si>
  <si>
    <t>$ Amount</t>
  </si>
  <si>
    <t>$ / Unit</t>
  </si>
  <si>
    <t>% of Total</t>
  </si>
  <si>
    <t>% AMI</t>
  </si>
  <si>
    <t>Studio</t>
  </si>
  <si>
    <t>1 Bedroom</t>
  </si>
  <si>
    <t>2 Bedroom</t>
  </si>
  <si>
    <t>3 Bedroom</t>
  </si>
  <si>
    <t>4+ Bedroom</t>
  </si>
  <si>
    <t>Total</t>
  </si>
  <si>
    <t>Property Address</t>
  </si>
  <si>
    <t>Construction Sources</t>
  </si>
  <si>
    <t>PSH</t>
  </si>
  <si>
    <t>Project Name</t>
  </si>
  <si>
    <t>New Equity</t>
  </si>
  <si>
    <t>Tax Credit Equity</t>
  </si>
  <si>
    <t>Construction Start Date</t>
  </si>
  <si>
    <t>Tax Credit Bridge Loan</t>
  </si>
  <si>
    <t>Construction Months</t>
  </si>
  <si>
    <t>Construction Loan</t>
  </si>
  <si>
    <t>Construction End Date</t>
  </si>
  <si>
    <t>Deferred Developer Fee</t>
  </si>
  <si>
    <t>Grants</t>
  </si>
  <si>
    <t>Gross SF</t>
  </si>
  <si>
    <t>Other</t>
  </si>
  <si>
    <t># of Residential Units</t>
  </si>
  <si>
    <t>Gap</t>
  </si>
  <si>
    <t>Market-Rate Units</t>
  </si>
  <si>
    <t>Total Construction Sources</t>
  </si>
  <si>
    <t>Affordable Units</t>
  </si>
  <si>
    <t>PSH Units</t>
  </si>
  <si>
    <t>Permanent Sources</t>
  </si>
  <si>
    <t>Commercial Units</t>
  </si>
  <si>
    <t>Residential Rentable SF</t>
  </si>
  <si>
    <t>Market-Rate Rentable SF</t>
  </si>
  <si>
    <t>Permanent Loan</t>
  </si>
  <si>
    <t>Affordable Rentable SF</t>
  </si>
  <si>
    <t>Commercial Rentable SF</t>
  </si>
  <si>
    <t>Non-Rentable SF</t>
  </si>
  <si>
    <t>Occupancy %</t>
  </si>
  <si>
    <t>Average AMI %</t>
  </si>
  <si>
    <t>Total Permanent Sources</t>
  </si>
  <si>
    <t>% of Affordable Units</t>
  </si>
  <si>
    <t>Uses</t>
  </si>
  <si>
    <t>Acquisition Costs</t>
  </si>
  <si>
    <t>None - Market</t>
  </si>
  <si>
    <t>Hard Costs</t>
  </si>
  <si>
    <t>Soft Costs</t>
  </si>
  <si>
    <t>Total Uses</t>
  </si>
  <si>
    <r>
      <t xml:space="preserve">Gross Potential Rent Escalation Table - </t>
    </r>
    <r>
      <rPr>
        <b/>
        <i/>
        <u/>
        <sz val="10"/>
        <color theme="1"/>
        <rFont val="Calibri"/>
        <family val="2"/>
        <scheme val="minor"/>
      </rPr>
      <t>For Assessor's Office Only</t>
    </r>
  </si>
  <si>
    <t>Escalation Factor</t>
  </si>
  <si>
    <t>Gross Potential Rent</t>
  </si>
  <si>
    <t>Rent Roll</t>
  </si>
  <si>
    <r>
      <rPr>
        <b/>
        <sz val="10"/>
        <color rgb="FF000000"/>
        <rFont val="Calibri"/>
        <family val="2"/>
      </rPr>
      <t>Instructions:</t>
    </r>
    <r>
      <rPr>
        <sz val="10"/>
        <color rgb="FF000000"/>
        <rFont val="Calibri"/>
        <family val="2"/>
      </rPr>
      <t xml:space="preserve">                                                                                                                                                                                                                                                                                                                                               Input unit details for all residential units including income-restricted, PSH, and market rate.                                                                                                                                                                                                                                                                                                                                                                                                                            -</t>
    </r>
    <r>
      <rPr>
        <u/>
        <sz val="10"/>
        <color rgb="FF000000"/>
        <rFont val="Calibri"/>
        <family val="2"/>
      </rPr>
      <t xml:space="preserve"> Properties with occupied units</t>
    </r>
    <r>
      <rPr>
        <sz val="10"/>
        <color rgb="FF000000"/>
        <rFont val="Calibri"/>
        <family val="2"/>
      </rPr>
      <t xml:space="preserve">: Use this tab as a rent roll, unit by unit, entering "1" in Column H. For each occupied unit, select "Y" in Column G and enter current tenant data into Columns M-T. See example in row 25 and "Tenant Retention Rules" tab for details on allowable rent/compliance for tenant income relative to unit restriction.                                                                                                                                                                                                                                                                                                 
- </t>
    </r>
    <r>
      <rPr>
        <u/>
        <sz val="10"/>
        <color rgb="FF000000"/>
        <rFont val="Calibri"/>
        <family val="2"/>
      </rPr>
      <t>Vacant Properties/New Construction</t>
    </r>
    <r>
      <rPr>
        <sz val="10"/>
        <color rgb="FF000000"/>
        <rFont val="Calibri"/>
        <family val="2"/>
      </rPr>
      <t>: Enter unit mix by bedroom type and affordability restriction. In column H, enter the number of units of the applicable type. See example in row 24.                                                                       -</t>
    </r>
    <r>
      <rPr>
        <u/>
        <sz val="10"/>
        <color rgb="FF000000"/>
        <rFont val="Calibri"/>
        <family val="2"/>
      </rPr>
      <t>"Tenant Paid Utilities"</t>
    </r>
    <r>
      <rPr>
        <sz val="10"/>
        <color rgb="FF000000"/>
        <rFont val="Calibri"/>
        <family val="2"/>
      </rPr>
      <t xml:space="preserve"> complete the table in Column Z marking "Y" for any utilities paid by tenants to determine the MSHDA utility allowances (located on the Data tab) to determine restricted affordable net rent (column Z).  Option to use the "manual overrides" table for affordable rent per month and tenant-paid utilities per month by unit type.
-</t>
    </r>
    <r>
      <rPr>
        <u/>
        <sz val="10"/>
        <color rgb="FF000000"/>
        <rFont val="Calibri"/>
        <family val="2"/>
      </rPr>
      <t xml:space="preserve">If there are market rate </t>
    </r>
    <r>
      <rPr>
        <sz val="10"/>
        <color rgb="FF000000"/>
        <rFont val="Calibri"/>
        <family val="2"/>
      </rPr>
      <t>aka Unrestricted units, select "Market" in both columns J, K and L.                                                                                                                                                                                                             -</t>
    </r>
    <r>
      <rPr>
        <u/>
        <sz val="10"/>
        <color rgb="FF000000"/>
        <rFont val="Calibri"/>
        <family val="2"/>
      </rPr>
      <t>If there are Project-Based Voucher (PBV) units</t>
    </r>
    <r>
      <rPr>
        <sz val="10"/>
        <color rgb="FF000000"/>
        <rFont val="Calibri"/>
        <family val="2"/>
      </rPr>
      <t>, select "PBV - Income Restricted" in Column J and indicate the total rent amount, not the amount paid by the tenant, in column U.                                                                                  -</t>
    </r>
    <r>
      <rPr>
        <u/>
        <sz val="10"/>
        <color rgb="FF000000"/>
        <rFont val="Calibri"/>
        <family val="2"/>
      </rPr>
      <t>If a project is completed</t>
    </r>
    <r>
      <rPr>
        <sz val="10"/>
        <color rgb="FF000000"/>
        <rFont val="Calibri"/>
        <family val="2"/>
      </rPr>
      <t>, "current rent" and other "current" values should be reported as they were prior to the renovation, and "proposed rent" should reflect the post-renovation rent, if increased.                                             -</t>
    </r>
    <r>
      <rPr>
        <u/>
        <sz val="10"/>
        <color rgb="FF000000"/>
        <rFont val="Calibri"/>
        <family val="2"/>
      </rPr>
      <t>Note:</t>
    </r>
    <r>
      <rPr>
        <sz val="10"/>
        <color rgb="FF000000"/>
        <rFont val="Calibri"/>
        <family val="2"/>
      </rPr>
      <t xml:space="preserve"> "Proposed rent," "Restricted rent," and "Assumed rent" are based on currently-available MSHDA/HUD data. Allowable rents during PILOT will depend on values at the time a lease is entered into.</t>
    </r>
  </si>
  <si>
    <t>Tenant Paid Utilities</t>
  </si>
  <si>
    <t>Utility</t>
  </si>
  <si>
    <t>Tenant Paid?</t>
  </si>
  <si>
    <t>Heating</t>
  </si>
  <si>
    <t>Natural Gas</t>
  </si>
  <si>
    <t>N</t>
  </si>
  <si>
    <t>Electric (resistance)</t>
  </si>
  <si>
    <t>Electric (heat pump)</t>
  </si>
  <si>
    <t>Cooking</t>
  </si>
  <si>
    <t>Electric</t>
  </si>
  <si>
    <t>Hot Water</t>
  </si>
  <si>
    <t>Manual Overrides</t>
  </si>
  <si>
    <t>Other Electric</t>
  </si>
  <si>
    <t>Unit Type</t>
  </si>
  <si>
    <t>$ Rent / Mo</t>
  </si>
  <si>
    <t>$ Utility / Mo</t>
  </si>
  <si>
    <t>Water</t>
  </si>
  <si>
    <t>Sewer</t>
  </si>
  <si>
    <t>Trash</t>
  </si>
  <si>
    <t>Natural Gas Service Charge</t>
  </si>
  <si>
    <r>
      <rPr>
        <b/>
        <sz val="10"/>
        <color rgb="FFC00000"/>
        <rFont val="Calibri"/>
        <family val="2"/>
        <scheme val="minor"/>
      </rPr>
      <t>Red</t>
    </r>
    <r>
      <rPr>
        <sz val="10"/>
        <color rgb="FFC00000"/>
        <rFont val="Calibri"/>
        <family val="2"/>
        <scheme val="minor"/>
      </rPr>
      <t xml:space="preserve"> = Invalid Input</t>
    </r>
  </si>
  <si>
    <t>Electric Service Charge</t>
  </si>
  <si>
    <t>ONLY FILL OUT IF OCCUPIED, OTHERWISE INPUT "NA" OR "0" AS SHOWN BELOW</t>
  </si>
  <si>
    <t>Unit Number</t>
  </si>
  <si>
    <t>Unit Description</t>
  </si>
  <si>
    <t>Unit Size</t>
  </si>
  <si>
    <t>Unit SF</t>
  </si>
  <si>
    <t>Occupied? (Y/N)</t>
  </si>
  <si>
    <t># of Total Units</t>
  </si>
  <si>
    <t>Total SF</t>
  </si>
  <si>
    <t>Affordability Type At Completion</t>
  </si>
  <si>
    <t>Max % Unit Income Restriction At Completion</t>
  </si>
  <si>
    <t>Rent Restriction At Completion</t>
  </si>
  <si>
    <t xml:space="preserve">Current $ Annual Household Income </t>
  </si>
  <si>
    <t>Current # of Household Persons</t>
  </si>
  <si>
    <t>Current Household AMI</t>
  </si>
  <si>
    <t>Adjusting Existing Rent?</t>
  </si>
  <si>
    <t>Tenant Has Voucher?</t>
  </si>
  <si>
    <t>Current Rent (As Occupied)</t>
  </si>
  <si>
    <t>Proposed Initial Lease Rent (As Completed)</t>
  </si>
  <si>
    <t>Restricted Affordable Rent</t>
  </si>
  <si>
    <t>Assumed Rent</t>
  </si>
  <si>
    <t>Proposed Rent Within Income Restriction?</t>
  </si>
  <si>
    <t>Proposed Rent Compliant per Tenant Retention?</t>
  </si>
  <si>
    <t>Proposed Rent Within 30% of Tenant Income?</t>
  </si>
  <si>
    <t>Proposed Rent Increase &lt; 5%?</t>
  </si>
  <si>
    <t>Tenant Retention Category</t>
  </si>
  <si>
    <t>Current Tenant Compliance Policy</t>
  </si>
  <si>
    <t>$ Rent PSF / Mo</t>
  </si>
  <si>
    <t>$ Annual Current Rent</t>
  </si>
  <si>
    <t>$ Annual Future Rent</t>
  </si>
  <si>
    <t>$ Net Rent / Mo</t>
  </si>
  <si>
    <t>$ Net Rent PSF / Mo</t>
  </si>
  <si>
    <t>$ Gross Potential Rent</t>
  </si>
  <si>
    <t>$ Assumed Annual Rent</t>
  </si>
  <si>
    <t>Sample - Vacant</t>
  </si>
  <si>
    <t>1A</t>
  </si>
  <si>
    <t>Income-Restricted</t>
  </si>
  <si>
    <t>MSHDA AMI</t>
  </si>
  <si>
    <t>NA</t>
  </si>
  <si>
    <t>Sample - Occupied</t>
  </si>
  <si>
    <t>Y</t>
  </si>
  <si>
    <t>1 Person</t>
  </si>
  <si>
    <t>&lt;INSERT DESC&gt;</t>
  </si>
  <si>
    <t>Total / Average</t>
  </si>
  <si>
    <t>FTHP/GAHP Project Financials</t>
  </si>
  <si>
    <r>
      <rPr>
        <b/>
        <sz val="10"/>
        <color rgb="FF000000"/>
        <rFont val="Calibri"/>
        <family val="2"/>
      </rPr>
      <t>Instructions:</t>
    </r>
    <r>
      <rPr>
        <sz val="10"/>
        <color rgb="FF000000"/>
        <rFont val="Calibri"/>
        <family val="2"/>
      </rPr>
      <t xml:space="preserve"> </t>
    </r>
    <r>
      <rPr>
        <u/>
        <sz val="10"/>
        <color rgb="FF000000"/>
        <rFont val="Calibri"/>
        <family val="2"/>
      </rPr>
      <t xml:space="preserve">ONLY FILL OUT THIS TAB IF APPLYING FOR FTHP or GAHP
</t>
    </r>
    <r>
      <rPr>
        <sz val="10"/>
        <color rgb="FF000000"/>
        <rFont val="Calibri"/>
        <family val="2"/>
      </rPr>
      <t>-All projects must complete one of two "financials" tabs. This tab is applicable to projects eligible for the Fast Track Housing Project (FTHP) or the Government Assisted Housing Project (GAHP) as indicated on the Overview Tab. Enter development budget and sources &amp; uses for the project. Note: Total Hard costs (M57) should match Part A of the Neighborly application. Notify City HRD staff if a change to that field is needed.                                                                                                                                                                                                                                                                                                                                                                                -This sheet also calculates estimated PILOT service charge under the three different rental revenue calculation methods. 
1) Net Shelter Rent - calculated by taking gross receipts less vacancy less utilities, and audited financial statements will need to be submitted annually. Rental Revenue pulls from "Assumed Rent" on the Rent Roll tab, please input your expected vacancy and utility expenses.
2) Utility Adjusted Gross Potential Rent - calculated by taking gross potential rent before utility allowances less utilities, and owner utility bills will need to be submitted annually. Rental Revenue pulls from "Gross Potential Rent" on the Rent Roll tab, please input your expected utility expenses.
3) Gross Potential Rent - calculated by taking gross potential rent less MSHDA standard utility allowances. Rental Revenue pulls from "Gross Potential Rent" on the Rent Roll tab.</t>
    </r>
  </si>
  <si>
    <t>Development Budget</t>
  </si>
  <si>
    <t>$ / GSF</t>
  </si>
  <si>
    <t>Construction Period Sources</t>
  </si>
  <si>
    <t>Land</t>
  </si>
  <si>
    <t>Senior Construction Loan</t>
  </si>
  <si>
    <t>Existing Buildings</t>
  </si>
  <si>
    <t>Mezzanine Loan A</t>
  </si>
  <si>
    <t>Other Acquisition Costs:</t>
  </si>
  <si>
    <t>Mezzanine Loan B</t>
  </si>
  <si>
    <t>Total Acqusition Costs</t>
  </si>
  <si>
    <t>Mezzanine Loan C</t>
  </si>
  <si>
    <t>Grant Funds A</t>
  </si>
  <si>
    <t>Grant Funds B</t>
  </si>
  <si>
    <t>Direct Trades</t>
  </si>
  <si>
    <t>Grant Funds C</t>
  </si>
  <si>
    <t>Off-Site Improvements</t>
  </si>
  <si>
    <t>LIHTC Bridge Loan</t>
  </si>
  <si>
    <t>On-Site Improvements</t>
  </si>
  <si>
    <t>HTC Bridge Loan</t>
  </si>
  <si>
    <t>Landscaping &amp; Irrigation</t>
  </si>
  <si>
    <t>Upfront LIHTC Equity</t>
  </si>
  <si>
    <t>Structures</t>
  </si>
  <si>
    <t>Upfront HTC Equity</t>
  </si>
  <si>
    <t>Community Building / Maintenance Facility</t>
  </si>
  <si>
    <t>Construction Not in Basis (Carports &amp; Commercial Space)</t>
  </si>
  <si>
    <t>Sponsor Loan</t>
  </si>
  <si>
    <t>Other Direct Trades:</t>
  </si>
  <si>
    <t>Cash Equity</t>
  </si>
  <si>
    <t>Subtotal Direct Trades</t>
  </si>
  <si>
    <t>Gap In Financing</t>
  </si>
  <si>
    <t>Other Construction Sources:</t>
  </si>
  <si>
    <t>Indirect Trades</t>
  </si>
  <si>
    <t>General Conditions / General Requirements</t>
  </si>
  <si>
    <t>Total Construction Period Sources</t>
  </si>
  <si>
    <t>Builders Overhead</t>
  </si>
  <si>
    <t>Builders Profit</t>
  </si>
  <si>
    <t>Builders Contingency</t>
  </si>
  <si>
    <t>Senior Permanent Loan</t>
  </si>
  <si>
    <t>Building Permit</t>
  </si>
  <si>
    <t>Builders Payment &amp; Performance Bond</t>
  </si>
  <si>
    <t>Builders Risk &amp; General Liability Insurance</t>
  </si>
  <si>
    <t>Bond Premium, Tap Fees, Cost Cert.</t>
  </si>
  <si>
    <t>Other Indirect Trades:</t>
  </si>
  <si>
    <t>Subtotal Indirect Trades</t>
  </si>
  <si>
    <t>LIHTC Equity</t>
  </si>
  <si>
    <t>Total Hard Costs</t>
  </si>
  <si>
    <t>HTC Equity</t>
  </si>
  <si>
    <t>Professional Fees</t>
  </si>
  <si>
    <t>Design Architect Fees</t>
  </si>
  <si>
    <t>Supervisory Architect Fees</t>
  </si>
  <si>
    <t>Other Permanent Sources:</t>
  </si>
  <si>
    <t>Landscape Architect Fees</t>
  </si>
  <si>
    <t>Engineering/Survey</t>
  </si>
  <si>
    <t>Legal Fees</t>
  </si>
  <si>
    <t>Interior Design Fees</t>
  </si>
  <si>
    <t>Other Professional Fees:</t>
  </si>
  <si>
    <t>Acqusition Costs</t>
  </si>
  <si>
    <t>Subtotal Professional Fees</t>
  </si>
  <si>
    <t>Interim Construction Costs</t>
  </si>
  <si>
    <t>Property &amp; Casualty Insurance</t>
  </si>
  <si>
    <t>Construction Loan Interest</t>
  </si>
  <si>
    <t>Title Work</t>
  </si>
  <si>
    <t>Construction Taxes</t>
  </si>
  <si>
    <t>Estimated PILOT Tax Liability Analysis (For Developer Reference)</t>
  </si>
  <si>
    <t>Permits</t>
  </si>
  <si>
    <t>Net Shelter Rent</t>
  </si>
  <si>
    <t>Utility Adjusted Gross Potential Rent</t>
  </si>
  <si>
    <t>Other Interim Construction Costs:</t>
  </si>
  <si>
    <t>Subtotal Interim Construction Costs</t>
  </si>
  <si>
    <t>Assumptions</t>
  </si>
  <si>
    <t>Permanent Financing</t>
  </si>
  <si>
    <t>PILOT Type</t>
  </si>
  <si>
    <t>Loan Commitment Fee</t>
  </si>
  <si>
    <t>% PILOT Rate</t>
  </si>
  <si>
    <t>Other Permanent Financing:</t>
  </si>
  <si>
    <t>Reporting Requirement</t>
  </si>
  <si>
    <t>Audit</t>
  </si>
  <si>
    <t>Owner Utility Bills</t>
  </si>
  <si>
    <t>Subtotal Permanent Financing</t>
  </si>
  <si>
    <t>PILOT Calculation</t>
  </si>
  <si>
    <t>Other Costs (In Basis)</t>
  </si>
  <si>
    <t>Rental Revenue</t>
  </si>
  <si>
    <t>Application Fee</t>
  </si>
  <si>
    <t>Vacancy Factor</t>
  </si>
  <si>
    <t>Market Study</t>
  </si>
  <si>
    <t>Utilities</t>
  </si>
  <si>
    <t>Environmental Studies</t>
  </si>
  <si>
    <t>PILOT Tax Basis Rent</t>
  </si>
  <si>
    <t>Cost Certification</t>
  </si>
  <si>
    <t>Equipment &amp; Furnishings</t>
  </si>
  <si>
    <t>Annual Tax Liability</t>
  </si>
  <si>
    <t>Temporary Tenant Relocation</t>
  </si>
  <si>
    <t>PILOT Taxes</t>
  </si>
  <si>
    <t>Construction Contingency</t>
  </si>
  <si>
    <t>Taxes / Unit</t>
  </si>
  <si>
    <t>Appraisal &amp; C.N.A.</t>
  </si>
  <si>
    <t>Other:</t>
  </si>
  <si>
    <t>Subtotal Other Costs (In Basis)</t>
  </si>
  <si>
    <t>Other Costs (Not In Basis)</t>
  </si>
  <si>
    <t>Start-up &amp; Organization</t>
  </si>
  <si>
    <t>Tax Credit Fees</t>
  </si>
  <si>
    <t>Compliance Monitoring Fee</t>
  </si>
  <si>
    <t>Marketing Expense</t>
  </si>
  <si>
    <t>Syndication Legal Fees</t>
  </si>
  <si>
    <t>Rent Up Allowance</t>
  </si>
  <si>
    <t>Subtotal Other Costs (Not In Basis)</t>
  </si>
  <si>
    <t>Project Reserves</t>
  </si>
  <si>
    <t>Operating Assurance Reserve</t>
  </si>
  <si>
    <t>Replacement Reserve</t>
  </si>
  <si>
    <t>Operating Deficit Reserve</t>
  </si>
  <si>
    <t>Rent Subsidy Reserve</t>
  </si>
  <si>
    <t>Sydnicator Held Reserve</t>
  </si>
  <si>
    <t>Rent Lag Escrow</t>
  </si>
  <si>
    <t>Tax &amp; Insurance Escrows</t>
  </si>
  <si>
    <t>Other Project Reserves:</t>
  </si>
  <si>
    <t>Subtotal Project Reserves</t>
  </si>
  <si>
    <t>Miscellaneous</t>
  </si>
  <si>
    <t>Deposit to Development Operating Account (1MGRP)</t>
  </si>
  <si>
    <t>Other (Not In Basis):</t>
  </si>
  <si>
    <t>Other (In Basis):</t>
  </si>
  <si>
    <t>Subtotal Miscellaneous</t>
  </si>
  <si>
    <t>Developer Fees</t>
  </si>
  <si>
    <t>Total Soft Costs</t>
  </si>
  <si>
    <t>Total Development Costs</t>
  </si>
  <si>
    <t>SWHP Project Financials</t>
  </si>
  <si>
    <r>
      <rPr>
        <b/>
        <sz val="10"/>
        <color rgb="FF000000"/>
        <rFont val="Calibri"/>
        <family val="2"/>
        <scheme val="minor"/>
      </rPr>
      <t>Instructions:</t>
    </r>
    <r>
      <rPr>
        <sz val="10"/>
        <color rgb="FF000000"/>
        <rFont val="Calibri"/>
        <family val="2"/>
        <scheme val="minor"/>
      </rPr>
      <t xml:space="preserve"> </t>
    </r>
    <r>
      <rPr>
        <u/>
        <sz val="10"/>
        <color rgb="FF000000"/>
        <rFont val="Calibri"/>
        <family val="2"/>
        <scheme val="minor"/>
      </rPr>
      <t xml:space="preserve">ONLY FILL OUT THIS TAB IF APPLYING FOR SWHP
</t>
    </r>
    <r>
      <rPr>
        <sz val="10"/>
        <color rgb="FF000000"/>
        <rFont val="Calibri"/>
        <family val="2"/>
        <scheme val="minor"/>
      </rPr>
      <t xml:space="preserve">-All projects must complete one of two "financials" tabs. This tab is applicable to projects applying as Standard Workforce Housing Projects (SWHP) as indicated on the Overview Tab. Enter all applicable fields for development budget, sources &amp; use, stabilized income and expenses, current and future inflaction factors, and parcel information. Note total Hard costs (P56) should match Part A of the Neighborly application. Notify City HRD staff if a change to that field is needed.
-This sheet also estimates tax liabilities under a variety of scenarios including different PILOT rates.                                                                                                                                </t>
    </r>
  </si>
  <si>
    <t>Stabilized Income Statement</t>
  </si>
  <si>
    <t>15-Year Cash Flow</t>
  </si>
  <si>
    <t>Financing Assumptions (Third-Party Loans Only)</t>
  </si>
  <si>
    <t>Current Inflation</t>
  </si>
  <si>
    <t>Future Inflation</t>
  </si>
  <si>
    <t>Future Inflation Start Year</t>
  </si>
  <si>
    <t>Loan Type</t>
  </si>
  <si>
    <t>Interest Rate</t>
  </si>
  <si>
    <t>Amortization (Yrs)</t>
  </si>
  <si>
    <t>Revenue</t>
  </si>
  <si>
    <t>Assumed Annual Residential Revenue</t>
  </si>
  <si>
    <t>Assumed Annual Commercial Revenue</t>
  </si>
  <si>
    <t>Other Revenue</t>
  </si>
  <si>
    <t>Gross Revenue</t>
  </si>
  <si>
    <t>Operating Expenses</t>
  </si>
  <si>
    <t>Vacancy &amp; Credit Loss</t>
  </si>
  <si>
    <t>Administration / Payroll</t>
  </si>
  <si>
    <t>Gas</t>
  </si>
  <si>
    <t>Water &amp; Sewer</t>
  </si>
  <si>
    <t>Advertising / Marketing</t>
  </si>
  <si>
    <t>Janitorial / Security / Grounds Maintenance</t>
  </si>
  <si>
    <t>Repairs &amp; Maintenance</t>
  </si>
  <si>
    <t>Real Estate Taxes</t>
  </si>
  <si>
    <t>Insurance</t>
  </si>
  <si>
    <t>Other Expense Item:</t>
  </si>
  <si>
    <t>Management Fee</t>
  </si>
  <si>
    <t>Total Operating Expenses</t>
  </si>
  <si>
    <t>Net Operating Income</t>
  </si>
  <si>
    <t>Debt Service Coverage Ratio</t>
  </si>
  <si>
    <t>Debt Services</t>
  </si>
  <si>
    <t>Total Debt Service</t>
  </si>
  <si>
    <t>Cash Flow After Debt Service</t>
  </si>
  <si>
    <t>Return Metrics</t>
  </si>
  <si>
    <t>Average</t>
  </si>
  <si>
    <t>Yield-to-Cost (NOI / Total Cost)</t>
  </si>
  <si>
    <t>Cash-on-Cash Return (CFADS / Developer Equity)</t>
  </si>
  <si>
    <t>Avg. Cash-on-Cash Return (CFADS / Developer Equity)</t>
  </si>
  <si>
    <t>Mortgage Constant (Debt Service / Total Debt)</t>
  </si>
  <si>
    <t>Select Scenario:</t>
  </si>
  <si>
    <t>Property Tax Information</t>
  </si>
  <si>
    <t>Estimated Property Tax Analysis</t>
  </si>
  <si>
    <t>Input / Amount</t>
  </si>
  <si>
    <t>Current Tax Liability</t>
  </si>
  <si>
    <t>Uncapped Tax Liability - No Improvements</t>
  </si>
  <si>
    <t>Tax Liability + Improvements</t>
  </si>
  <si>
    <t>Abatement + Improvements</t>
  </si>
  <si>
    <t>PILOT + Improvements + Net Shelter Rent</t>
  </si>
  <si>
    <t>PILOT + Improvements + Utility Adj GPR</t>
  </si>
  <si>
    <t>PILOT + Improvements + Gross Rent</t>
  </si>
  <si>
    <t>Parcel Address(s)</t>
  </si>
  <si>
    <t>Controls</t>
  </si>
  <si>
    <t>Is This A Pending Acquisition? (Y/N)</t>
  </si>
  <si>
    <t>Parcel ID(s)</t>
  </si>
  <si>
    <t>Abatement Type</t>
  </si>
  <si>
    <t>SWHP PILOT Rate (Manual)</t>
  </si>
  <si>
    <t>Utility Adj GPR</t>
  </si>
  <si>
    <t>Gross Rent</t>
  </si>
  <si>
    <t>Parcel Acreage</t>
  </si>
  <si>
    <t>% PILOT Rate (Income-Restricted Only)</t>
  </si>
  <si>
    <t>Existing Building  SF</t>
  </si>
  <si>
    <t>Building Addition SF</t>
  </si>
  <si>
    <t>Ad Valorem Taxes (Non-Exempt)</t>
  </si>
  <si>
    <t>Land True Cash Value</t>
  </si>
  <si>
    <t>Abatement Taxes</t>
  </si>
  <si>
    <t>"As-Is" Assessed Value</t>
  </si>
  <si>
    <t>"As-Is" Taxable Value</t>
  </si>
  <si>
    <t>Total Annual Tax Liability</t>
  </si>
  <si>
    <t>"As-Complete" Assessed Value</t>
  </si>
  <si>
    <t>Data Validation List</t>
  </si>
  <si>
    <t>Bedroom Type</t>
  </si>
  <si>
    <t>% Income Restr</t>
  </si>
  <si>
    <t>Affordability Type</t>
  </si>
  <si>
    <t>Rent Restriction</t>
  </si>
  <si>
    <t>Current Tenant Voucher?</t>
  </si>
  <si>
    <t>PILOT Program</t>
  </si>
  <si>
    <t>PILOT Abbrv</t>
  </si>
  <si>
    <t>PILOT Calc</t>
  </si>
  <si>
    <t>SWHP PILOT Rate</t>
  </si>
  <si>
    <t>Residential Type</t>
  </si>
  <si>
    <t>Construction status</t>
  </si>
  <si>
    <t>Y/N</t>
  </si>
  <si>
    <t>Income Restriction</t>
  </si>
  <si>
    <t>Min AMI</t>
  </si>
  <si>
    <t>Max AMI</t>
  </si>
  <si>
    <t>Construction Type</t>
  </si>
  <si>
    <t>Project Type</t>
  </si>
  <si>
    <t># of Persons</t>
  </si>
  <si>
    <t>UA Unit Type</t>
  </si>
  <si>
    <t>Interest-Only</t>
  </si>
  <si>
    <t>OPRA</t>
  </si>
  <si>
    <t>High-rise, Low-rise</t>
  </si>
  <si>
    <t>Not yet started</t>
  </si>
  <si>
    <t>New Construction</t>
  </si>
  <si>
    <t>Apartment</t>
  </si>
  <si>
    <t>Market</t>
  </si>
  <si>
    <t>GAHP - Government-Aided Housing Project</t>
  </si>
  <si>
    <t>GAHP</t>
  </si>
  <si>
    <t>Amortizing</t>
  </si>
  <si>
    <t>OPRA +</t>
  </si>
  <si>
    <t>Townhouse, Duplex, Triplex, Fourplex</t>
  </si>
  <si>
    <t>In progress</t>
  </si>
  <si>
    <t>61% - 80% AMI</t>
  </si>
  <si>
    <t>Existing</t>
  </si>
  <si>
    <t>Occupied Rehab</t>
  </si>
  <si>
    <t>2 Person</t>
  </si>
  <si>
    <t>Attached Single Family</t>
  </si>
  <si>
    <t>PBV</t>
  </si>
  <si>
    <t>FTHP - Fast Track Housing Project</t>
  </si>
  <si>
    <t>FTHP</t>
  </si>
  <si>
    <t>PA-210</t>
  </si>
  <si>
    <t>Single Family Detached, Manufactured Home</t>
  </si>
  <si>
    <t>Complete</t>
  </si>
  <si>
    <t>81% - 120% AMI</t>
  </si>
  <si>
    <t>Long Term Vacant Rehab</t>
  </si>
  <si>
    <t>3 Person</t>
  </si>
  <si>
    <t>Detached Single Family</t>
  </si>
  <si>
    <t>PBRA - Income-Restricted</t>
  </si>
  <si>
    <t>HUD FMR</t>
  </si>
  <si>
    <t>HCV</t>
  </si>
  <si>
    <t>SWHP - Standard Workforce Housing Project</t>
  </si>
  <si>
    <t>SWHP</t>
  </si>
  <si>
    <t>NEZ-R</t>
  </si>
  <si>
    <t>Short Term Vacant Rehab</t>
  </si>
  <si>
    <t>4 Person</t>
  </si>
  <si>
    <t>PBV - Income-Restricted</t>
  </si>
  <si>
    <t>Vacant</t>
  </si>
  <si>
    <t>NEZ-N</t>
  </si>
  <si>
    <t>5 Person</t>
  </si>
  <si>
    <t>6 Person</t>
  </si>
  <si>
    <t>7 Person</t>
  </si>
  <si>
    <t>8 Person</t>
  </si>
  <si>
    <t>Investment Summary</t>
  </si>
  <si>
    <r>
      <rPr>
        <b/>
        <sz val="10"/>
        <color rgb="FF000000"/>
        <rFont val="Calibri"/>
        <family val="2"/>
      </rPr>
      <t xml:space="preserve">Instructions:                                                                                                                                                                                                                                                             </t>
    </r>
    <r>
      <rPr>
        <sz val="10"/>
        <color rgb="FF000000"/>
        <rFont val="Calibri"/>
        <family val="2"/>
      </rPr>
      <t xml:space="preserve"> - Verification of investment is required for projects where construction is complete. This sheet be used for new PILOTs where construction is complete or for PILOT renewals/conversions documenting investment over the initial term of the PILOT/abatement. This sheet, in addition to invoices, can be used to verify investment when Certificate of Acceptance or 3rd Party Cost Certification is not provided.                                                                                                                                                                                                                                    - Enter all capital investments completed as part of the rehabilitation project, including investment description, amount spent, vendor, invoice number, and invoice date for all applicable capital investments.                                                                                                                                             - Corresponding invoices will be included in the PILOT application and/or in the "packet" to the Assessor to activate the PILOT.</t>
    </r>
  </si>
  <si>
    <t>Description</t>
  </si>
  <si>
    <t>Vendor</t>
  </si>
  <si>
    <t>Invoice Number</t>
  </si>
  <si>
    <t>Invoice Date</t>
  </si>
  <si>
    <t>&lt;INSERT&gt;</t>
  </si>
  <si>
    <t>Legacy Resident Household Income</t>
  </si>
  <si>
    <t>&gt;120</t>
  </si>
  <si>
    <r>
      <rPr>
        <b/>
        <sz val="12"/>
        <color rgb="FF000000"/>
        <rFont val="Calibri"/>
      </rPr>
      <t>Instructions</t>
    </r>
    <r>
      <rPr>
        <sz val="12"/>
        <color rgb="FF000000"/>
        <rFont val="Calibri"/>
      </rPr>
      <t>:                                                                                                                                                                                                                This is an illustration of the policy regarding compliance and rent restrictions for</t>
    </r>
    <r>
      <rPr>
        <u/>
        <sz val="12"/>
        <color rgb="FF000000"/>
        <rFont val="Calibri"/>
      </rPr>
      <t xml:space="preserve"> household income </t>
    </r>
    <r>
      <rPr>
        <sz val="12"/>
        <color rgb="FF000000"/>
        <rFont val="Calibri"/>
      </rPr>
      <t xml:space="preserve">relative to the </t>
    </r>
    <r>
      <rPr>
        <u/>
        <sz val="12"/>
        <color rgb="FF000000"/>
        <rFont val="Calibri"/>
      </rPr>
      <t>unit affordabilty restriction</t>
    </r>
    <r>
      <rPr>
        <sz val="12"/>
        <color rgb="FF000000"/>
        <rFont val="Calibri"/>
      </rPr>
      <t xml:space="preserve"> for "Legacy residents" of Fast-Track Housing Projects (FTHPs) or Standard Workforce Housing Project (SWHPs). Legacy residents are tenants occupying a property as of the time of the application for PILOT. The table below will populate based on information entered into the "Unit Summary- Rent Roll" tab.</t>
    </r>
  </si>
  <si>
    <t>Unit Restriction</t>
  </si>
  <si>
    <t>1a</t>
  </si>
  <si>
    <t>2a</t>
  </si>
  <si>
    <t>3a</t>
  </si>
  <si>
    <t>3b</t>
  </si>
  <si>
    <t>Scenario</t>
  </si>
  <si>
    <t>Compliance and Rent Limits after Term of Current Lease</t>
  </si>
  <si>
    <t># of Units</t>
  </si>
  <si>
    <r>
      <rPr>
        <sz val="11"/>
        <color rgb="FF000000"/>
        <rFont val="Calibri"/>
        <scheme val="minor"/>
      </rPr>
      <t xml:space="preserve">Houshold income 80% AMI or lower and </t>
    </r>
    <r>
      <rPr>
        <u/>
        <sz val="11"/>
        <color rgb="FF000000"/>
        <rFont val="Calibri"/>
        <scheme val="minor"/>
      </rPr>
      <t>at or below</t>
    </r>
    <r>
      <rPr>
        <sz val="11"/>
        <color rgb="FF000000"/>
        <rFont val="Calibri"/>
        <scheme val="minor"/>
      </rPr>
      <t xml:space="preserve"> unit restriction (or in a market/unrestricted unit).</t>
    </r>
  </si>
  <si>
    <r>
      <rPr>
        <u/>
        <sz val="11"/>
        <color rgb="FF000000"/>
        <rFont val="Calibri"/>
        <family val="2"/>
        <scheme val="minor"/>
      </rPr>
      <t>Compliant</t>
    </r>
    <r>
      <rPr>
        <sz val="11"/>
        <color rgb="FF000000"/>
        <rFont val="Calibri"/>
        <family val="2"/>
        <scheme val="minor"/>
      </rPr>
      <t>. Initial rent increase limited to the greater of +5% current rent or 30% of tenant income, increasing no more than 3% annually thereafter, capped at Max Allowable Rent based on unit restriction.</t>
    </r>
  </si>
  <si>
    <t>2b</t>
  </si>
  <si>
    <t>1b</t>
  </si>
  <si>
    <r>
      <rPr>
        <sz val="11"/>
        <color rgb="FF000000"/>
        <rFont val="Calibri"/>
        <scheme val="minor"/>
      </rPr>
      <t xml:space="preserve">Houshold income over 80% AMI and </t>
    </r>
    <r>
      <rPr>
        <u/>
        <sz val="11"/>
        <color rgb="FF000000"/>
        <rFont val="Calibri"/>
        <scheme val="minor"/>
      </rPr>
      <t xml:space="preserve">at or below </t>
    </r>
    <r>
      <rPr>
        <sz val="11"/>
        <color rgb="FF000000"/>
        <rFont val="Calibri"/>
        <scheme val="minor"/>
      </rPr>
      <t>unit restriction.</t>
    </r>
  </si>
  <si>
    <r>
      <rPr>
        <u/>
        <sz val="11"/>
        <color rgb="FF000000"/>
        <rFont val="Calibri"/>
        <family val="2"/>
        <scheme val="minor"/>
      </rPr>
      <t>Compliant</t>
    </r>
    <r>
      <rPr>
        <sz val="11"/>
        <color rgb="FF000000"/>
        <rFont val="Calibri"/>
        <family val="2"/>
        <scheme val="minor"/>
      </rPr>
      <t>. No rent restrictions relative to initial rent, max allowable rent for unit cap.</t>
    </r>
  </si>
  <si>
    <r>
      <rPr>
        <sz val="11"/>
        <color rgb="FF000000"/>
        <rFont val="Calibri"/>
        <scheme val="minor"/>
      </rPr>
      <t xml:space="preserve">Houshold income 80% AMI or lower and </t>
    </r>
    <r>
      <rPr>
        <u/>
        <sz val="11"/>
        <color rgb="FF000000"/>
        <rFont val="Calibri"/>
        <scheme val="minor"/>
      </rPr>
      <t>over</t>
    </r>
    <r>
      <rPr>
        <sz val="11"/>
        <color rgb="FF000000"/>
        <rFont val="Calibri"/>
        <scheme val="minor"/>
      </rPr>
      <t xml:space="preserve"> unit restriction.</t>
    </r>
  </si>
  <si>
    <r>
      <rPr>
        <sz val="11"/>
        <color rgb="FF000000"/>
        <rFont val="Calibri"/>
        <scheme val="minor"/>
      </rPr>
      <t xml:space="preserve">Houshold income 81-120% AMI and </t>
    </r>
    <r>
      <rPr>
        <u/>
        <sz val="11"/>
        <color rgb="FF000000"/>
        <rFont val="Calibri"/>
        <scheme val="minor"/>
      </rPr>
      <t>no more than 20% AMI over</t>
    </r>
    <r>
      <rPr>
        <sz val="11"/>
        <color rgb="FF000000"/>
        <rFont val="Calibri"/>
        <scheme val="minor"/>
      </rPr>
      <t xml:space="preserve"> unit restriction.</t>
    </r>
  </si>
  <si>
    <r>
      <rPr>
        <u/>
        <sz val="11"/>
        <color rgb="FF000000"/>
        <rFont val="Calibri"/>
        <family val="2"/>
        <scheme val="minor"/>
      </rPr>
      <t>Compliant</t>
    </r>
    <r>
      <rPr>
        <sz val="11"/>
        <color rgb="FF000000"/>
        <rFont val="Calibri"/>
        <family val="2"/>
        <scheme val="minor"/>
      </rPr>
      <t>. Rent is capped at Max Allowable Rent.</t>
    </r>
  </si>
  <si>
    <r>
      <rPr>
        <sz val="11"/>
        <color rgb="FF000000"/>
        <rFont val="Calibri"/>
        <scheme val="minor"/>
      </rPr>
      <t xml:space="preserve">Houshold income 81-120% AMI and </t>
    </r>
    <r>
      <rPr>
        <u/>
        <sz val="11"/>
        <color rgb="FF000000"/>
        <rFont val="Calibri"/>
        <scheme val="minor"/>
      </rPr>
      <t>more than 20% AMI over</t>
    </r>
    <r>
      <rPr>
        <sz val="11"/>
        <color rgb="FF000000"/>
        <rFont val="Calibri"/>
        <scheme val="minor"/>
      </rPr>
      <t xml:space="preserve"> unit restriction.</t>
    </r>
  </si>
  <si>
    <r>
      <rPr>
        <u/>
        <sz val="11"/>
        <color rgb="FF000000"/>
        <rFont val="Calibri"/>
        <family val="2"/>
        <scheme val="minor"/>
      </rPr>
      <t xml:space="preserve">Not Compliant </t>
    </r>
    <r>
      <rPr>
        <sz val="11"/>
        <color rgb="FF000000"/>
        <rFont val="Calibri"/>
        <family val="2"/>
        <scheme val="minor"/>
      </rPr>
      <t>after the term of the current lease, tenant cannot stay in a restricted unit.</t>
    </r>
  </si>
  <si>
    <t>Houshold income over 120% AMI or not reported, in a restricted unit.</t>
  </si>
  <si>
    <t>4</t>
  </si>
  <si>
    <t>Houshold income over 80% AMI in a market/unrestricted unit.</t>
  </si>
  <si>
    <r>
      <rPr>
        <u/>
        <sz val="11"/>
        <color rgb="FF000000"/>
        <rFont val="Calibri"/>
        <family val="2"/>
        <scheme val="minor"/>
      </rPr>
      <t>Compliant</t>
    </r>
    <r>
      <rPr>
        <sz val="11"/>
        <color rgb="FF000000"/>
        <rFont val="Calibri"/>
        <family val="2"/>
        <scheme val="minor"/>
      </rPr>
      <t>. Market rent can be charged.</t>
    </r>
  </si>
  <si>
    <t>MKT</t>
  </si>
  <si>
    <t>Lookup Data</t>
  </si>
  <si>
    <t>AMI Year:</t>
  </si>
  <si>
    <t>UA Year</t>
  </si>
  <si>
    <t>MSHDA AMI Rents</t>
  </si>
  <si>
    <t>MSHDA Utility Allowances</t>
  </si>
  <si>
    <t>Attached</t>
  </si>
  <si>
    <t>Detached</t>
  </si>
  <si>
    <t>0 BR</t>
  </si>
  <si>
    <t>1 BR</t>
  </si>
  <si>
    <t>2 BR</t>
  </si>
  <si>
    <t>3 BR</t>
  </si>
  <si>
    <t>4 BR</t>
  </si>
  <si>
    <t>Electric (resistence)</t>
  </si>
  <si>
    <t>HUD 2025 FMR</t>
  </si>
  <si>
    <t>Utility Allowance</t>
  </si>
  <si>
    <t>MSHDA AMI Incomes</t>
  </si>
  <si>
    <t>City of Detroit Millage Detail</t>
  </si>
  <si>
    <t>Long-Term Vacant Rehab</t>
  </si>
  <si>
    <t>Government Aided Housing - Standard</t>
  </si>
  <si>
    <t>Fast-Track Housing - Standard</t>
  </si>
  <si>
    <t>Standard Workforce Housing</t>
  </si>
  <si>
    <t>Tax Millage</t>
  </si>
  <si>
    <t>Millage Rate</t>
  </si>
  <si>
    <t>Improvement Millages</t>
  </si>
  <si>
    <t>School Operating</t>
  </si>
  <si>
    <t>State Education</t>
  </si>
  <si>
    <t>Wayne County Operating - Winter</t>
  </si>
  <si>
    <t>Wayne County Parks - Winter</t>
  </si>
  <si>
    <t>Wayne County Jail - Winter</t>
  </si>
  <si>
    <t>Wayne County RESA</t>
  </si>
  <si>
    <t>Wayne County RESA SP ED</t>
  </si>
  <si>
    <t>Wayne County Special RESA ENH</t>
  </si>
  <si>
    <t>General City Operating</t>
  </si>
  <si>
    <t>Library</t>
  </si>
  <si>
    <t>Wayne County Operating - Summer</t>
  </si>
  <si>
    <t>Huron Clinton Metropolitan Authority (HCMA)</t>
  </si>
  <si>
    <t xml:space="preserve">Wayne County Community College </t>
  </si>
  <si>
    <t>School Debt</t>
  </si>
  <si>
    <t>Bond Debt</t>
  </si>
  <si>
    <t>DIA Tax</t>
  </si>
  <si>
    <t>Zoo Tax</t>
  </si>
  <si>
    <t>Total Millage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</si>
</sst>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quot;$&quot;* #,##0.00_);_(&quot;$&quot;* \(#,##0.00\);_(&quot;$&quot;* &quot;-&quot;??_);_(@_)"/>
    <numFmt numFmtId="43" formatCode="_(* #,##0.00_);_(* \(#,##0.00\);_(* &quot;-&quot;??_);_(@_)"/>
    <numFmt numFmtId="164" formatCode="_(&quot;$&quot;* #,##0_);_(&quot;$&quot;* \(#,##0\);_(&quot;$&quot;* &quot;-&quot;??_);_(@_)"/>
    <numFmt numFmtId="165" formatCode="_([$$-409]* #,##0_);_([$$-409]* \(#,##0\);_([$$-409]* &quot;-&quot;??_);_(@_)"/>
    <numFmt numFmtId="166" formatCode="_(* #,##0_);_(* \(#,##0\);_(* &quot;-&quot;??_);_(@_)"/>
    <numFmt numFmtId="167" formatCode="_([$$-409]* #,##0.00_);_([$$-409]* \(#,##0.00\);_([$$-409]* &quot;-&quot;??_);_(@_)"/>
    <numFmt numFmtId="168" formatCode="0%\ &quot;Avg. AMI&quot;"/>
    <numFmt numFmtId="169" formatCode="0.0%"/>
    <numFmt numFmtId="170" formatCode="&quot;$&quot;#,##0\ &quot;Bldg AV PSF&quot;"/>
    <numFmt numFmtId="171" formatCode="#,##0\ &quot;Yrs&quot;"/>
    <numFmt numFmtId="172" formatCode="_(* #,##0.0000_);_(* \(#,##0.0000\);_(* &quot;-&quot;??_);_(@_)"/>
    <numFmt numFmtId="173" formatCode="0%\ &quot;Affordable&quot;"/>
    <numFmt numFmtId="174" formatCode="&quot;Year&quot;\ 0"/>
    <numFmt numFmtId="175" formatCode="#,##0\ &quot;Total SF&quot;"/>
    <numFmt numFmtId="176" formatCode="&quot;61% - 80%&quot;"/>
    <numFmt numFmtId="177" formatCode="&quot;81% - 120%&quot;"/>
    <numFmt numFmtId="178" formatCode="0.00%\ &quot;Occupied&quot;"/>
    <numFmt numFmtId="179" formatCode="0%\ &quot;vacancy&quot;"/>
    <numFmt numFmtId="180" formatCode="&quot;$&quot;#,##0\ &quot;/ unit&quot;"/>
    <numFmt numFmtId="181" formatCode="&quot;Year&quot;\ #"/>
    <numFmt numFmtId="182" formatCode="0%\ &quot;Occupied&quot;"/>
    <numFmt numFmtId="183" formatCode="0%\ &quot;AMI&quot;"/>
  </numFmts>
  <fonts count="40" x14ac:knownFonts="1">
    <font>
      <sz val="11"/>
      <color theme="1"/>
      <name val="Calibri"/>
      <family val="2"/>
      <scheme val="minor"/>
    </font>
    <font>
      <sz val="10"/>
      <color theme="1"/>
      <name val="Calibri"/>
      <family val="2"/>
      <scheme val="minor"/>
    </font>
    <font>
      <b/>
      <sz val="12"/>
      <color theme="1"/>
      <name val="Calibri"/>
      <family val="2"/>
      <scheme val="minor"/>
    </font>
    <font>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FF"/>
      <name val="Calibri"/>
      <family val="2"/>
      <scheme val="minor"/>
    </font>
    <font>
      <i/>
      <sz val="10"/>
      <color theme="1"/>
      <name val="Calibri"/>
      <family val="2"/>
      <scheme val="minor"/>
    </font>
    <font>
      <sz val="10"/>
      <color rgb="FF009900"/>
      <name val="Calibri"/>
      <family val="2"/>
      <scheme val="minor"/>
    </font>
    <font>
      <b/>
      <u/>
      <sz val="10"/>
      <color theme="1"/>
      <name val="Calibri"/>
      <family val="2"/>
      <scheme val="minor"/>
    </font>
    <font>
      <b/>
      <sz val="10"/>
      <color rgb="FF0000FF"/>
      <name val="Calibri"/>
      <family val="2"/>
      <scheme val="minor"/>
    </font>
    <font>
      <b/>
      <sz val="10"/>
      <color rgb="FF009900"/>
      <name val="Calibri"/>
      <family val="2"/>
      <scheme val="minor"/>
    </font>
    <font>
      <b/>
      <sz val="10"/>
      <color theme="0"/>
      <name val="Calibri"/>
      <family val="2"/>
      <scheme val="minor"/>
    </font>
    <font>
      <sz val="9"/>
      <color indexed="81"/>
      <name val="Tahoma"/>
      <family val="2"/>
    </font>
    <font>
      <b/>
      <sz val="9"/>
      <color indexed="81"/>
      <name val="Tahoma"/>
      <family val="2"/>
    </font>
    <font>
      <sz val="8"/>
      <name val="Calibri"/>
      <family val="2"/>
      <scheme val="minor"/>
    </font>
    <font>
      <sz val="10"/>
      <color rgb="FFC00000"/>
      <name val="Calibri"/>
      <family val="2"/>
      <scheme val="minor"/>
    </font>
    <font>
      <b/>
      <sz val="10"/>
      <color rgb="FFC00000"/>
      <name val="Calibri"/>
      <family val="2"/>
      <scheme val="minor"/>
    </font>
    <font>
      <b/>
      <i/>
      <u/>
      <sz val="10"/>
      <color theme="1"/>
      <name val="Calibri"/>
      <family val="2"/>
      <scheme val="minor"/>
    </font>
    <font>
      <b/>
      <sz val="9"/>
      <color indexed="81"/>
      <name val="Tahoma"/>
      <family val="2"/>
    </font>
    <font>
      <i/>
      <sz val="10"/>
      <name val="Calibri"/>
      <family val="2"/>
      <scheme val="minor"/>
    </font>
    <font>
      <sz val="10"/>
      <color rgb="FF000000"/>
      <name val="Calibri"/>
      <family val="2"/>
    </font>
    <font>
      <b/>
      <sz val="11"/>
      <color theme="1"/>
      <name val="Calibri"/>
      <family val="2"/>
      <scheme val="minor"/>
    </font>
    <font>
      <sz val="12"/>
      <color rgb="FF000000"/>
      <name val="Calibri"/>
      <family val="2"/>
      <scheme val="minor"/>
    </font>
    <font>
      <sz val="12"/>
      <color theme="1"/>
      <name val="Calibri"/>
      <family val="2"/>
      <scheme val="minor"/>
    </font>
    <font>
      <b/>
      <sz val="10"/>
      <color rgb="FF000000"/>
      <name val="Calibri"/>
      <family val="2"/>
      <scheme val="minor"/>
    </font>
    <font>
      <sz val="10"/>
      <color rgb="FF000000"/>
      <name val="Calibri"/>
      <family val="2"/>
      <scheme val="minor"/>
    </font>
    <font>
      <u/>
      <sz val="10"/>
      <color rgb="FF000000"/>
      <name val="Calibri"/>
      <family val="2"/>
      <scheme val="minor"/>
    </font>
    <font>
      <b/>
      <sz val="10"/>
      <color rgb="FF000000"/>
      <name val="Calibri"/>
      <family val="2"/>
    </font>
    <font>
      <sz val="10"/>
      <color rgb="FF000000"/>
      <name val="Calibri"/>
      <family val="2"/>
    </font>
    <font>
      <u/>
      <sz val="10"/>
      <color rgb="FF000000"/>
      <name val="Calibri"/>
      <family val="2"/>
    </font>
    <font>
      <sz val="11"/>
      <color rgb="FF000000"/>
      <name val="Calibri"/>
      <family val="2"/>
      <scheme val="minor"/>
    </font>
    <font>
      <u/>
      <sz val="11"/>
      <color rgb="FF000000"/>
      <name val="Calibri"/>
      <family val="2"/>
      <scheme val="minor"/>
    </font>
    <font>
      <b/>
      <sz val="18"/>
      <color theme="1"/>
      <name val="Calibri"/>
      <family val="2"/>
      <scheme val="minor"/>
    </font>
    <font>
      <b/>
      <sz val="12"/>
      <color rgb="FF000000"/>
      <name val="Calibri"/>
    </font>
    <font>
      <sz val="12"/>
      <color rgb="FF000000"/>
      <name val="Calibri"/>
    </font>
    <font>
      <u/>
      <sz val="12"/>
      <color rgb="FF000000"/>
      <name val="Calibri"/>
    </font>
    <font>
      <sz val="11"/>
      <color rgb="FF000000"/>
      <name val="Calibri"/>
      <scheme val="minor"/>
    </font>
    <font>
      <u/>
      <sz val="11"/>
      <color rgb="FF000000"/>
      <name val="Calibri"/>
      <scheme val="minor"/>
    </font>
  </fonts>
  <fills count="1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rgb="FFFFCCCC"/>
        <bgColor indexed="64"/>
      </patternFill>
    </fill>
    <fill>
      <patternFill patternType="solid">
        <fgColor rgb="FFF2BBBB"/>
        <bgColor indexed="64"/>
      </patternFill>
    </fill>
    <fill>
      <patternFill patternType="solid">
        <fgColor rgb="FFF0AAAA"/>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theme="0"/>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auto="1"/>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auto="1"/>
      </top>
      <bottom/>
      <diagonal/>
    </border>
    <border>
      <left style="hair">
        <color auto="1"/>
      </left>
      <right/>
      <top style="hair">
        <color auto="1"/>
      </top>
      <bottom/>
      <diagonal/>
    </border>
    <border>
      <left style="thin">
        <color auto="1"/>
      </left>
      <right/>
      <top style="hair">
        <color auto="1"/>
      </top>
      <bottom/>
      <diagonal/>
    </border>
    <border>
      <left style="hair">
        <color auto="1"/>
      </left>
      <right/>
      <top/>
      <bottom style="hair">
        <color auto="1"/>
      </bottom>
      <diagonal/>
    </border>
    <border>
      <left style="hair">
        <color auto="1"/>
      </left>
      <right style="hair">
        <color indexed="64"/>
      </right>
      <top style="hair">
        <color auto="1"/>
      </top>
      <bottom/>
      <diagonal/>
    </border>
    <border>
      <left/>
      <right style="thin">
        <color indexed="64"/>
      </right>
      <top style="hair">
        <color auto="1"/>
      </top>
      <bottom/>
      <diagonal/>
    </border>
    <border>
      <left/>
      <right style="thin">
        <color indexed="64"/>
      </right>
      <top/>
      <bottom style="hair">
        <color auto="1"/>
      </bottom>
      <diagonal/>
    </border>
    <border>
      <left style="hair">
        <color auto="1"/>
      </left>
      <right style="thin">
        <color indexed="64"/>
      </right>
      <top style="hair">
        <color auto="1"/>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hair">
        <color auto="1"/>
      </right>
      <top style="thin">
        <color indexed="64"/>
      </top>
      <bottom style="double">
        <color indexed="64"/>
      </bottom>
      <diagonal/>
    </border>
    <border>
      <left style="hair">
        <color auto="1"/>
      </left>
      <right style="hair">
        <color auto="1"/>
      </right>
      <top style="thin">
        <color indexed="64"/>
      </top>
      <bottom style="double">
        <color indexed="64"/>
      </bottom>
      <diagonal/>
    </border>
    <border>
      <left style="hair">
        <color auto="1"/>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auto="1"/>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diagonal/>
    </border>
    <border>
      <left style="hair">
        <color rgb="FF000000"/>
      </left>
      <right style="hair">
        <color rgb="FF000000"/>
      </right>
      <top/>
      <bottom/>
      <diagonal/>
    </border>
    <border>
      <left style="hair">
        <color rgb="FF000000"/>
      </left>
      <right style="hair">
        <color rgb="FF000000"/>
      </right>
      <top/>
      <bottom style="thin">
        <color indexed="64"/>
      </bottom>
      <diagonal/>
    </border>
    <border>
      <left style="hair">
        <color rgb="FF000000"/>
      </left>
      <right style="hair">
        <color rgb="FF000000"/>
      </right>
      <top style="thin">
        <color indexed="64"/>
      </top>
      <bottom/>
      <diagonal/>
    </border>
    <border>
      <left style="hair">
        <color rgb="FF000000"/>
      </left>
      <right style="thin">
        <color rgb="FF000000"/>
      </right>
      <top style="thin">
        <color auto="1"/>
      </top>
      <bottom/>
      <diagonal/>
    </border>
    <border>
      <left style="hair">
        <color rgb="FF000000"/>
      </left>
      <right style="thin">
        <color rgb="FF000000"/>
      </right>
      <top/>
      <bottom style="thin">
        <color auto="1"/>
      </bottom>
      <diagonal/>
    </border>
    <border>
      <left style="hair">
        <color rgb="FF000000"/>
      </left>
      <right/>
      <top style="thin">
        <color indexed="64"/>
      </top>
      <bottom/>
      <diagonal/>
    </border>
    <border>
      <left style="hair">
        <color rgb="FF000000"/>
      </left>
      <right/>
      <top/>
      <bottom style="thin">
        <color indexed="64"/>
      </bottom>
      <diagonal/>
    </border>
    <border>
      <left style="thin">
        <color indexed="64"/>
      </left>
      <right style="hair">
        <color rgb="FF000000"/>
      </right>
      <top style="thin">
        <color indexed="64"/>
      </top>
      <bottom/>
      <diagonal/>
    </border>
    <border>
      <left style="thin">
        <color indexed="64"/>
      </left>
      <right style="hair">
        <color rgb="FF000000"/>
      </right>
      <top/>
      <bottom style="thin">
        <color indexed="64"/>
      </bottom>
      <diagonal/>
    </border>
    <border>
      <left style="hair">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bottom style="thin">
        <color rgb="FF000000"/>
      </bottom>
      <diagonal/>
    </border>
    <border>
      <left style="hair">
        <color indexed="64"/>
      </left>
      <right style="thin">
        <color rgb="FF000000"/>
      </right>
      <top style="thin">
        <color rgb="FF000000"/>
      </top>
      <bottom/>
      <diagonal/>
    </border>
    <border>
      <left style="hair">
        <color indexed="64"/>
      </left>
      <right style="thin">
        <color rgb="FF000000"/>
      </right>
      <top/>
      <bottom/>
      <diagonal/>
    </border>
    <border>
      <left style="hair">
        <color indexed="64"/>
      </left>
      <right style="thin">
        <color rgb="FF000000"/>
      </right>
      <top/>
      <bottom style="thin">
        <color rgb="FF000000"/>
      </bottom>
      <diagonal/>
    </border>
    <border>
      <left style="dotted">
        <color rgb="FF000000"/>
      </left>
      <right style="thin">
        <color rgb="FF000000"/>
      </right>
      <top/>
      <bottom/>
      <diagonal/>
    </border>
    <border>
      <left/>
      <right style="thin">
        <color rgb="FF000000"/>
      </right>
      <top style="thin">
        <color auto="1"/>
      </top>
      <bottom/>
      <diagonal/>
    </border>
    <border>
      <left style="dotted">
        <color rgb="FF000000"/>
      </left>
      <right style="hair">
        <color auto="1"/>
      </right>
      <top style="thin">
        <color auto="1"/>
      </top>
      <bottom/>
      <diagonal/>
    </border>
    <border>
      <left style="dotted">
        <color rgb="FF000000"/>
      </left>
      <right style="hair">
        <color auto="1"/>
      </right>
      <top/>
      <bottom/>
      <diagonal/>
    </border>
    <border>
      <left style="thin">
        <color rgb="FF000000"/>
      </left>
      <right/>
      <top style="thin">
        <color rgb="FF000000"/>
      </top>
      <bottom style="thin">
        <color rgb="FF000000"/>
      </bottom>
      <diagonal/>
    </border>
    <border>
      <left style="hair">
        <color indexed="64"/>
      </left>
      <right style="hair">
        <color indexed="64"/>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rgb="FF000000"/>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674">
    <xf numFmtId="0" fontId="0" fillId="0" borderId="0" xfId="0"/>
    <xf numFmtId="0" fontId="1" fillId="0" borderId="0" xfId="0" applyFont="1"/>
    <xf numFmtId="0" fontId="2" fillId="2" borderId="0" xfId="0" applyFont="1" applyFill="1"/>
    <xf numFmtId="0" fontId="1" fillId="0" borderId="0" xfId="0" applyFont="1" applyAlignment="1">
      <alignment vertical="center" wrapText="1"/>
    </xf>
    <xf numFmtId="0" fontId="2" fillId="2" borderId="0" xfId="0" applyFont="1" applyFill="1" applyAlignment="1">
      <alignment vertical="center"/>
    </xf>
    <xf numFmtId="0" fontId="1" fillId="0" borderId="0" xfId="0" applyFont="1" applyAlignment="1">
      <alignment vertical="center"/>
    </xf>
    <xf numFmtId="0" fontId="4" fillId="2" borderId="1" xfId="0" applyFont="1" applyFill="1" applyBorder="1"/>
    <xf numFmtId="0" fontId="1" fillId="2" borderId="2" xfId="0" applyFont="1" applyFill="1" applyBorder="1"/>
    <xf numFmtId="0" fontId="1" fillId="2" borderId="3" xfId="0" applyFont="1" applyFill="1" applyBorder="1"/>
    <xf numFmtId="0" fontId="4" fillId="2" borderId="2" xfId="0" applyFont="1" applyFill="1" applyBorder="1"/>
    <xf numFmtId="0" fontId="5" fillId="0" borderId="4" xfId="0" applyFont="1" applyBorder="1" applyAlignment="1">
      <alignment horizontal="center"/>
    </xf>
    <xf numFmtId="0" fontId="1" fillId="0" borderId="5" xfId="0" applyFont="1" applyBorder="1" applyAlignment="1">
      <alignment horizontal="left" indent="1"/>
    </xf>
    <xf numFmtId="0" fontId="1" fillId="0" borderId="7" xfId="0" applyFont="1" applyBorder="1"/>
    <xf numFmtId="0" fontId="1" fillId="0" borderId="8" xfId="0" applyFont="1" applyBorder="1" applyAlignment="1">
      <alignment horizontal="left" indent="1"/>
    </xf>
    <xf numFmtId="0" fontId="1" fillId="0" borderId="10" xfId="0" applyFont="1" applyBorder="1"/>
    <xf numFmtId="0" fontId="1" fillId="0" borderId="11" xfId="0" applyFont="1" applyBorder="1" applyAlignment="1">
      <alignment horizontal="left" indent="1"/>
    </xf>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4" fillId="2" borderId="4" xfId="0" applyFont="1" applyFill="1" applyBorder="1" applyAlignment="1">
      <alignment horizontal="right"/>
    </xf>
    <xf numFmtId="0" fontId="1" fillId="0" borderId="22" xfId="0" applyFont="1" applyBorder="1" applyAlignment="1">
      <alignment horizontal="left" vertical="center" indent="1"/>
    </xf>
    <xf numFmtId="0" fontId="1" fillId="0" borderId="23" xfId="0" applyFont="1" applyBorder="1" applyAlignment="1">
      <alignment vertical="center"/>
    </xf>
    <xf numFmtId="0" fontId="1" fillId="0" borderId="13"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0" xfId="0" applyFont="1" applyBorder="1" applyAlignment="1">
      <alignment vertical="center"/>
    </xf>
    <xf numFmtId="0" fontId="1" fillId="0" borderId="28" xfId="0" applyFont="1" applyBorder="1" applyAlignment="1">
      <alignment vertical="center"/>
    </xf>
    <xf numFmtId="0" fontId="1" fillId="0" borderId="17" xfId="0" applyFont="1"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1" fillId="0" borderId="9" xfId="0" applyFont="1" applyBorder="1" applyAlignment="1">
      <alignment vertical="center"/>
    </xf>
    <xf numFmtId="0" fontId="1" fillId="0" borderId="11" xfId="0" applyFont="1" applyBorder="1" applyAlignment="1">
      <alignment horizontal="left" vertical="center" indent="2"/>
    </xf>
    <xf numFmtId="0" fontId="1" fillId="0" borderId="16" xfId="0" applyFont="1" applyBorder="1" applyAlignment="1">
      <alignment vertical="center"/>
    </xf>
    <xf numFmtId="0" fontId="8" fillId="0" borderId="27" xfId="0" applyFont="1" applyBorder="1" applyAlignment="1">
      <alignment vertical="center"/>
    </xf>
    <xf numFmtId="0" fontId="1" fillId="0" borderId="18" xfId="0" applyFont="1" applyBorder="1" applyAlignment="1">
      <alignment vertical="center"/>
    </xf>
    <xf numFmtId="0" fontId="1" fillId="0" borderId="15" xfId="0" applyFont="1" applyBorder="1" applyAlignment="1">
      <alignment vertical="center"/>
    </xf>
    <xf numFmtId="0" fontId="4" fillId="0" borderId="22" xfId="0" applyFont="1" applyBorder="1" applyAlignment="1">
      <alignment horizontal="left" vertical="center" indent="2"/>
    </xf>
    <xf numFmtId="0" fontId="4" fillId="0" borderId="26" xfId="0" applyFont="1" applyBorder="1" applyAlignment="1">
      <alignment vertical="center"/>
    </xf>
    <xf numFmtId="0" fontId="4" fillId="0" borderId="6" xfId="0" applyFont="1" applyBorder="1" applyAlignment="1">
      <alignment vertical="center"/>
    </xf>
    <xf numFmtId="0" fontId="4" fillId="0" borderId="23" xfId="0" applyFont="1" applyBorder="1" applyAlignment="1">
      <alignment vertical="center"/>
    </xf>
    <xf numFmtId="0" fontId="4" fillId="3" borderId="11" xfId="0" applyFont="1" applyFill="1" applyBorder="1" applyAlignment="1">
      <alignment vertical="center"/>
    </xf>
    <xf numFmtId="0" fontId="4" fillId="3" borderId="0" xfId="0" applyFont="1" applyFill="1" applyAlignment="1">
      <alignment vertical="center"/>
    </xf>
    <xf numFmtId="0" fontId="4" fillId="3" borderId="27" xfId="0" applyFont="1" applyFill="1" applyBorder="1" applyAlignment="1">
      <alignment vertical="center"/>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0" borderId="1" xfId="0" applyFont="1" applyBorder="1" applyAlignment="1">
      <alignment horizontal="left" vertical="center" indent="2"/>
    </xf>
    <xf numFmtId="0" fontId="4" fillId="0" borderId="2" xfId="0" applyFont="1" applyBorder="1" applyAlignment="1">
      <alignment vertical="center"/>
    </xf>
    <xf numFmtId="0" fontId="4" fillId="0" borderId="31" xfId="0" applyFont="1" applyBorder="1" applyAlignment="1">
      <alignment vertical="center"/>
    </xf>
    <xf numFmtId="0" fontId="4" fillId="0" borderId="22" xfId="0" applyFont="1" applyBorder="1" applyAlignment="1">
      <alignment horizontal="left" vertical="center" indent="3"/>
    </xf>
    <xf numFmtId="0" fontId="4" fillId="0" borderId="11" xfId="0" applyFont="1" applyBorder="1" applyAlignment="1">
      <alignment horizontal="left" vertical="center" indent="1"/>
    </xf>
    <xf numFmtId="0" fontId="4" fillId="0" borderId="0" xfId="0" applyFont="1" applyAlignment="1">
      <alignment vertical="center"/>
    </xf>
    <xf numFmtId="0" fontId="4" fillId="0" borderId="27" xfId="0" applyFont="1" applyBorder="1" applyAlignment="1">
      <alignment vertical="center"/>
    </xf>
    <xf numFmtId="0" fontId="4" fillId="0" borderId="1" xfId="0" applyFont="1" applyBorder="1" applyAlignment="1">
      <alignment horizontal="left" vertical="center" indent="1"/>
    </xf>
    <xf numFmtId="0" fontId="4" fillId="2" borderId="1" xfId="0" applyFont="1" applyFill="1" applyBorder="1" applyAlignment="1">
      <alignment horizontal="left" vertical="center" indent="1"/>
    </xf>
    <xf numFmtId="0" fontId="4" fillId="2" borderId="31" xfId="0" applyFont="1" applyFill="1" applyBorder="1" applyAlignment="1">
      <alignment vertical="center"/>
    </xf>
    <xf numFmtId="0" fontId="9" fillId="0" borderId="0" xfId="0" applyFont="1" applyAlignment="1">
      <alignment vertical="center"/>
    </xf>
    <xf numFmtId="0" fontId="4" fillId="2" borderId="4" xfId="0" applyFont="1" applyFill="1" applyBorder="1" applyAlignment="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10" xfId="0" applyFont="1" applyBorder="1" applyAlignment="1">
      <alignment horizontal="center" vertical="center"/>
    </xf>
    <xf numFmtId="14" fontId="1" fillId="0" borderId="10" xfId="0" applyNumberFormat="1" applyFont="1" applyBorder="1" applyAlignment="1">
      <alignment horizontal="center" vertical="center"/>
    </xf>
    <xf numFmtId="166" fontId="7" fillId="0" borderId="10" xfId="3" applyNumberFormat="1" applyFont="1" applyBorder="1" applyAlignment="1">
      <alignment vertical="center"/>
    </xf>
    <xf numFmtId="167" fontId="1" fillId="0" borderId="10" xfId="3" applyNumberFormat="1" applyFont="1" applyBorder="1" applyAlignment="1">
      <alignment vertical="center"/>
    </xf>
    <xf numFmtId="9" fontId="1" fillId="0" borderId="0" xfId="2" applyFont="1" applyAlignment="1">
      <alignment horizontal="center"/>
    </xf>
    <xf numFmtId="0" fontId="1" fillId="0" borderId="0" xfId="0" applyFont="1" applyAlignment="1">
      <alignment horizontal="center"/>
    </xf>
    <xf numFmtId="0" fontId="10" fillId="0" borderId="0" xfId="0" applyFont="1" applyAlignment="1">
      <alignment horizontal="center"/>
    </xf>
    <xf numFmtId="165" fontId="9" fillId="0" borderId="9" xfId="0" applyNumberFormat="1" applyFont="1" applyBorder="1" applyAlignment="1">
      <alignment horizontal="right" vertical="center"/>
    </xf>
    <xf numFmtId="0" fontId="1" fillId="0" borderId="28" xfId="0" applyFont="1" applyBorder="1"/>
    <xf numFmtId="0" fontId="4" fillId="3" borderId="4" xfId="0" applyFont="1" applyFill="1" applyBorder="1" applyAlignment="1">
      <alignment horizontal="center"/>
    </xf>
    <xf numFmtId="165" fontId="1" fillId="0" borderId="9" xfId="0" applyNumberFormat="1" applyFont="1" applyBorder="1" applyAlignment="1">
      <alignment vertical="center"/>
    </xf>
    <xf numFmtId="0" fontId="4" fillId="2" borderId="3" xfId="0" applyFont="1" applyFill="1" applyBorder="1"/>
    <xf numFmtId="0" fontId="4" fillId="2" borderId="4" xfId="0" applyFont="1" applyFill="1" applyBorder="1" applyAlignment="1">
      <alignment horizontal="right" vertical="center"/>
    </xf>
    <xf numFmtId="165" fontId="4" fillId="0" borderId="5" xfId="0" applyNumberFormat="1" applyFont="1" applyBorder="1" applyAlignment="1">
      <alignment vertical="center"/>
    </xf>
    <xf numFmtId="167" fontId="4" fillId="0" borderId="7" xfId="0" applyNumberFormat="1" applyFont="1" applyBorder="1" applyAlignment="1">
      <alignment vertical="center"/>
    </xf>
    <xf numFmtId="167" fontId="4" fillId="0" borderId="6" xfId="0" applyNumberFormat="1" applyFont="1" applyBorder="1" applyAlignment="1">
      <alignment vertical="center"/>
    </xf>
    <xf numFmtId="165" fontId="4" fillId="0" borderId="6" xfId="0" applyNumberFormat="1" applyFont="1" applyBorder="1" applyAlignment="1">
      <alignment vertical="center"/>
    </xf>
    <xf numFmtId="168" fontId="4" fillId="0" borderId="26" xfId="0" applyNumberFormat="1" applyFont="1" applyBorder="1" applyAlignment="1">
      <alignment horizontal="center" vertical="center"/>
    </xf>
    <xf numFmtId="165" fontId="1" fillId="0" borderId="8" xfId="0" applyNumberFormat="1" applyFont="1" applyBorder="1" applyAlignment="1">
      <alignment vertical="center"/>
    </xf>
    <xf numFmtId="167" fontId="1" fillId="0" borderId="30" xfId="3" applyNumberFormat="1" applyFont="1" applyBorder="1" applyAlignment="1">
      <alignment vertical="center"/>
    </xf>
    <xf numFmtId="167" fontId="4" fillId="0" borderId="29" xfId="0" applyNumberFormat="1" applyFont="1" applyBorder="1" applyAlignment="1">
      <alignment vertical="center"/>
    </xf>
    <xf numFmtId="165" fontId="1" fillId="0" borderId="10" xfId="0" applyNumberFormat="1" applyFont="1" applyBorder="1" applyAlignment="1">
      <alignment vertical="center"/>
    </xf>
    <xf numFmtId="165" fontId="4" fillId="0" borderId="7" xfId="0" applyNumberFormat="1" applyFont="1" applyBorder="1" applyAlignment="1">
      <alignment vertical="center"/>
    </xf>
    <xf numFmtId="166" fontId="1" fillId="0" borderId="10" xfId="0" applyNumberFormat="1" applyFont="1" applyBorder="1" applyAlignment="1">
      <alignment vertical="center"/>
    </xf>
    <xf numFmtId="9" fontId="1" fillId="0" borderId="10" xfId="2" applyFont="1" applyBorder="1" applyAlignment="1">
      <alignment horizontal="center" vertical="center"/>
    </xf>
    <xf numFmtId="167" fontId="1" fillId="0" borderId="9" xfId="0" applyNumberFormat="1" applyFont="1" applyBorder="1" applyAlignment="1">
      <alignment vertical="center"/>
    </xf>
    <xf numFmtId="0" fontId="1" fillId="3" borderId="21" xfId="0" applyFont="1" applyFill="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165" fontId="1" fillId="0" borderId="27" xfId="0" applyNumberFormat="1" applyFont="1" applyBorder="1" applyAlignment="1">
      <alignment vertical="center"/>
    </xf>
    <xf numFmtId="165" fontId="4" fillId="0" borderId="26" xfId="0" applyNumberFormat="1" applyFont="1" applyBorder="1" applyAlignment="1">
      <alignment vertical="center"/>
    </xf>
    <xf numFmtId="165" fontId="4" fillId="3" borderId="19" xfId="0" applyNumberFormat="1" applyFont="1" applyFill="1" applyBorder="1" applyAlignment="1">
      <alignment vertical="center"/>
    </xf>
    <xf numFmtId="0" fontId="1" fillId="3" borderId="25" xfId="0" applyFont="1" applyFill="1" applyBorder="1" applyAlignment="1">
      <alignment vertical="center"/>
    </xf>
    <xf numFmtId="165" fontId="1" fillId="3" borderId="20" xfId="3" applyNumberFormat="1" applyFont="1" applyFill="1" applyBorder="1" applyAlignment="1">
      <alignment vertical="center"/>
    </xf>
    <xf numFmtId="0" fontId="1" fillId="0" borderId="35" xfId="0" applyFont="1" applyBorder="1" applyAlignment="1">
      <alignment vertical="center"/>
    </xf>
    <xf numFmtId="0" fontId="1" fillId="0" borderId="39" xfId="0" applyFont="1" applyBorder="1" applyAlignment="1">
      <alignment vertical="center"/>
    </xf>
    <xf numFmtId="0" fontId="1" fillId="0" borderId="11" xfId="0" applyFont="1" applyBorder="1" applyAlignment="1">
      <alignment vertical="center"/>
    </xf>
    <xf numFmtId="0" fontId="1" fillId="0" borderId="37" xfId="0" applyFont="1" applyBorder="1" applyAlignment="1">
      <alignment horizontal="left" vertical="center" indent="1"/>
    </xf>
    <xf numFmtId="0" fontId="1" fillId="0" borderId="37" xfId="0" applyFont="1" applyBorder="1" applyAlignment="1">
      <alignment vertical="center"/>
    </xf>
    <xf numFmtId="0" fontId="1" fillId="0" borderId="42" xfId="0" applyFont="1" applyBorder="1" applyAlignment="1">
      <alignment vertical="center"/>
    </xf>
    <xf numFmtId="167" fontId="4" fillId="3" borderId="9" xfId="0" applyNumberFormat="1" applyFont="1" applyFill="1" applyBorder="1" applyAlignment="1">
      <alignment vertical="center"/>
    </xf>
    <xf numFmtId="167" fontId="4" fillId="0" borderId="32" xfId="0" applyNumberFormat="1" applyFont="1" applyBorder="1" applyAlignment="1">
      <alignment vertical="center"/>
    </xf>
    <xf numFmtId="167" fontId="4" fillId="0" borderId="9" xfId="0" applyNumberFormat="1" applyFont="1" applyBorder="1" applyAlignment="1">
      <alignment vertical="center"/>
    </xf>
    <xf numFmtId="167" fontId="4" fillId="2" borderId="32" xfId="0" applyNumberFormat="1" applyFont="1" applyFill="1" applyBorder="1" applyAlignment="1">
      <alignment vertical="center"/>
    </xf>
    <xf numFmtId="167" fontId="1" fillId="0" borderId="16" xfId="0" applyNumberFormat="1" applyFont="1" applyBorder="1" applyAlignment="1">
      <alignment vertical="center"/>
    </xf>
    <xf numFmtId="165" fontId="4" fillId="3" borderId="9" xfId="0" applyNumberFormat="1" applyFont="1" applyFill="1" applyBorder="1" applyAlignment="1">
      <alignment vertical="center"/>
    </xf>
    <xf numFmtId="165" fontId="4" fillId="0" borderId="32" xfId="0" applyNumberFormat="1" applyFont="1" applyBorder="1" applyAlignment="1">
      <alignment vertical="center"/>
    </xf>
    <xf numFmtId="165" fontId="4" fillId="0" borderId="9" xfId="0" applyNumberFormat="1" applyFont="1" applyBorder="1" applyAlignment="1">
      <alignment vertical="center"/>
    </xf>
    <xf numFmtId="165" fontId="4" fillId="2" borderId="32" xfId="0" applyNumberFormat="1" applyFont="1" applyFill="1" applyBorder="1" applyAlignment="1">
      <alignment vertical="center"/>
    </xf>
    <xf numFmtId="165" fontId="1" fillId="0" borderId="16" xfId="0" applyNumberFormat="1" applyFont="1" applyBorder="1" applyAlignment="1">
      <alignment vertical="center"/>
    </xf>
    <xf numFmtId="167" fontId="4" fillId="3" borderId="6" xfId="0" applyNumberFormat="1" applyFont="1" applyFill="1" applyBorder="1" applyAlignment="1">
      <alignment vertical="center"/>
    </xf>
    <xf numFmtId="167" fontId="4" fillId="3" borderId="7" xfId="0" applyNumberFormat="1" applyFont="1" applyFill="1" applyBorder="1" applyAlignment="1">
      <alignment vertical="center"/>
    </xf>
    <xf numFmtId="169" fontId="1" fillId="0" borderId="10" xfId="2" applyNumberFormat="1" applyFont="1" applyBorder="1" applyAlignment="1">
      <alignment vertical="center"/>
    </xf>
    <xf numFmtId="169" fontId="4" fillId="0" borderId="33" xfId="2" applyNumberFormat="1" applyFont="1" applyBorder="1" applyAlignment="1">
      <alignment vertical="center"/>
    </xf>
    <xf numFmtId="169" fontId="4" fillId="3" borderId="10" xfId="2" applyNumberFormat="1" applyFont="1" applyFill="1" applyBorder="1" applyAlignment="1">
      <alignment vertical="center"/>
    </xf>
    <xf numFmtId="169" fontId="4" fillId="0" borderId="7" xfId="2" applyNumberFormat="1" applyFont="1" applyBorder="1" applyAlignment="1">
      <alignment vertical="center"/>
    </xf>
    <xf numFmtId="169" fontId="4" fillId="0" borderId="10" xfId="2" applyNumberFormat="1" applyFont="1" applyBorder="1" applyAlignment="1">
      <alignment vertical="center"/>
    </xf>
    <xf numFmtId="169" fontId="4" fillId="2" borderId="33" xfId="2" applyNumberFormat="1" applyFont="1" applyFill="1" applyBorder="1" applyAlignment="1">
      <alignment vertical="center"/>
    </xf>
    <xf numFmtId="169" fontId="1" fillId="0" borderId="17" xfId="2" applyNumberFormat="1" applyFont="1" applyBorder="1" applyAlignment="1">
      <alignment vertical="center"/>
    </xf>
    <xf numFmtId="165" fontId="7" fillId="0" borderId="9" xfId="0" applyNumberFormat="1" applyFont="1" applyBorder="1" applyAlignment="1">
      <alignment vertical="center"/>
    </xf>
    <xf numFmtId="165" fontId="6" fillId="0" borderId="9" xfId="0" applyNumberFormat="1" applyFont="1" applyBorder="1" applyAlignment="1">
      <alignment vertical="center"/>
    </xf>
    <xf numFmtId="0" fontId="4" fillId="3" borderId="26" xfId="0" applyFont="1" applyFill="1" applyBorder="1" applyAlignment="1">
      <alignment vertical="center"/>
    </xf>
    <xf numFmtId="0" fontId="10" fillId="3" borderId="6" xfId="0" applyFont="1" applyFill="1" applyBorder="1" applyAlignment="1">
      <alignment horizontal="center" vertical="center"/>
    </xf>
    <xf numFmtId="0" fontId="4" fillId="3" borderId="6" xfId="0" applyFont="1" applyFill="1" applyBorder="1" applyAlignment="1">
      <alignment vertical="center"/>
    </xf>
    <xf numFmtId="0" fontId="4" fillId="3" borderId="7" xfId="0" applyFont="1" applyFill="1" applyBorder="1" applyAlignment="1">
      <alignment vertical="center"/>
    </xf>
    <xf numFmtId="0" fontId="10" fillId="3" borderId="9" xfId="0" applyFont="1" applyFill="1" applyBorder="1" applyAlignment="1">
      <alignment horizontal="center" vertical="center"/>
    </xf>
    <xf numFmtId="0" fontId="1" fillId="0" borderId="9" xfId="0" applyFont="1" applyBorder="1" applyAlignment="1">
      <alignment horizontal="center"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165" fontId="4" fillId="3" borderId="26" xfId="0" applyNumberFormat="1" applyFont="1" applyFill="1" applyBorder="1" applyAlignment="1">
      <alignment vertical="center"/>
    </xf>
    <xf numFmtId="165" fontId="4" fillId="3" borderId="6" xfId="0" applyNumberFormat="1" applyFont="1" applyFill="1" applyBorder="1" applyAlignment="1">
      <alignment vertical="center"/>
    </xf>
    <xf numFmtId="165" fontId="4" fillId="3" borderId="27" xfId="0" applyNumberFormat="1" applyFont="1" applyFill="1" applyBorder="1" applyAlignment="1">
      <alignment vertical="center"/>
    </xf>
    <xf numFmtId="165" fontId="1" fillId="0" borderId="28" xfId="0" applyNumberFormat="1" applyFont="1" applyBorder="1" applyAlignment="1">
      <alignment vertical="center"/>
    </xf>
    <xf numFmtId="9" fontId="4" fillId="3" borderId="7" xfId="2" applyFont="1" applyFill="1" applyBorder="1" applyAlignment="1">
      <alignment vertical="center"/>
    </xf>
    <xf numFmtId="0" fontId="7" fillId="2" borderId="8" xfId="0" applyFont="1" applyFill="1" applyBorder="1" applyAlignment="1">
      <alignment horizontal="left" vertical="center" indent="1"/>
    </xf>
    <xf numFmtId="0" fontId="7" fillId="2" borderId="9" xfId="0" applyFont="1" applyFill="1" applyBorder="1" applyAlignment="1">
      <alignment horizontal="left" vertical="center" indent="1"/>
    </xf>
    <xf numFmtId="0" fontId="1" fillId="2" borderId="10" xfId="0" applyFont="1" applyFill="1" applyBorder="1" applyAlignment="1">
      <alignment vertical="center"/>
    </xf>
    <xf numFmtId="0" fontId="1" fillId="2" borderId="8" xfId="0" applyFont="1" applyFill="1" applyBorder="1" applyAlignment="1">
      <alignment horizontal="left" vertical="center" indent="1"/>
    </xf>
    <xf numFmtId="0" fontId="1" fillId="2" borderId="9" xfId="0" applyFont="1" applyFill="1" applyBorder="1" applyAlignment="1">
      <alignment horizontal="left" vertical="center" indent="1"/>
    </xf>
    <xf numFmtId="0" fontId="1" fillId="2" borderId="8" xfId="0" applyFont="1" applyFill="1" applyBorder="1" applyAlignment="1">
      <alignment vertical="center"/>
    </xf>
    <xf numFmtId="0" fontId="1" fillId="2" borderId="9"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1" fillId="2" borderId="17" xfId="0" applyFont="1" applyFill="1" applyBorder="1" applyAlignment="1">
      <alignment vertical="center"/>
    </xf>
    <xf numFmtId="0" fontId="4" fillId="0" borderId="43" xfId="0" applyFont="1" applyBorder="1" applyAlignment="1">
      <alignment vertical="center"/>
    </xf>
    <xf numFmtId="169" fontId="4" fillId="3" borderId="7" xfId="2" applyNumberFormat="1" applyFont="1" applyFill="1" applyBorder="1" applyAlignment="1">
      <alignment vertical="center"/>
    </xf>
    <xf numFmtId="0" fontId="4" fillId="0" borderId="44" xfId="0" applyFont="1" applyBorder="1" applyAlignment="1">
      <alignment horizontal="left" vertical="center" indent="1"/>
    </xf>
    <xf numFmtId="0" fontId="4" fillId="0" borderId="45" xfId="0" applyFont="1" applyBorder="1" applyAlignment="1">
      <alignment vertical="center"/>
    </xf>
    <xf numFmtId="169" fontId="4" fillId="0" borderId="47" xfId="2" applyNumberFormat="1" applyFont="1" applyBorder="1" applyAlignment="1">
      <alignment vertical="center"/>
    </xf>
    <xf numFmtId="165" fontId="4" fillId="0" borderId="46" xfId="0" applyNumberFormat="1" applyFont="1" applyBorder="1" applyAlignment="1">
      <alignment vertical="center"/>
    </xf>
    <xf numFmtId="167" fontId="4" fillId="0" borderId="46" xfId="3" applyNumberFormat="1" applyFont="1" applyBorder="1" applyAlignment="1">
      <alignment vertical="center"/>
    </xf>
    <xf numFmtId="10" fontId="1" fillId="0" borderId="0" xfId="0" applyNumberFormat="1" applyFont="1" applyAlignment="1">
      <alignment horizontal="center"/>
    </xf>
    <xf numFmtId="0" fontId="6" fillId="0" borderId="9" xfId="0" applyFont="1" applyBorder="1" applyAlignment="1">
      <alignment horizontal="center" vertical="center"/>
    </xf>
    <xf numFmtId="169" fontId="6" fillId="0" borderId="9" xfId="0" applyNumberFormat="1" applyFont="1" applyBorder="1" applyAlignment="1">
      <alignment horizontal="center" vertical="center"/>
    </xf>
    <xf numFmtId="0" fontId="8" fillId="0" borderId="11" xfId="0" applyFont="1" applyBorder="1" applyAlignment="1">
      <alignment horizontal="left" vertical="center" indent="3"/>
    </xf>
    <xf numFmtId="0" fontId="1" fillId="0" borderId="26" xfId="0" applyFont="1" applyBorder="1"/>
    <xf numFmtId="0" fontId="1" fillId="0" borderId="27" xfId="0" applyFont="1" applyBorder="1"/>
    <xf numFmtId="0" fontId="1" fillId="0" borderId="22" xfId="0" applyFont="1" applyBorder="1" applyAlignment="1">
      <alignment horizontal="left" indent="1"/>
    </xf>
    <xf numFmtId="0" fontId="1" fillId="0" borderId="23" xfId="0" applyFont="1" applyBorder="1"/>
    <xf numFmtId="10" fontId="6" fillId="0" borderId="7" xfId="2" applyNumberFormat="1" applyFont="1" applyBorder="1" applyAlignment="1">
      <alignment horizontal="center"/>
    </xf>
    <xf numFmtId="10" fontId="6" fillId="0" borderId="10" xfId="2" applyNumberFormat="1" applyFont="1" applyBorder="1" applyAlignment="1">
      <alignment horizontal="center"/>
    </xf>
    <xf numFmtId="0" fontId="1" fillId="0" borderId="25" xfId="0" applyFont="1" applyBorder="1"/>
    <xf numFmtId="0" fontId="4" fillId="0" borderId="22" xfId="0" applyFont="1" applyBorder="1" applyAlignment="1">
      <alignment horizontal="left" indent="2"/>
    </xf>
    <xf numFmtId="0" fontId="4" fillId="0" borderId="23" xfId="0" applyFont="1" applyBorder="1"/>
    <xf numFmtId="165" fontId="8" fillId="0" borderId="9" xfId="0" applyNumberFormat="1" applyFont="1" applyBorder="1" applyAlignment="1">
      <alignment vertical="center"/>
    </xf>
    <xf numFmtId="165" fontId="8" fillId="0" borderId="10" xfId="0" applyNumberFormat="1" applyFont="1" applyBorder="1" applyAlignment="1">
      <alignment vertical="center"/>
    </xf>
    <xf numFmtId="10" fontId="9" fillId="0" borderId="10" xfId="0" applyNumberFormat="1" applyFont="1" applyBorder="1" applyAlignment="1">
      <alignment horizontal="center"/>
    </xf>
    <xf numFmtId="0" fontId="8" fillId="0" borderId="13" xfId="0" applyFont="1" applyBorder="1" applyAlignment="1">
      <alignment horizontal="left" vertical="center" indent="3"/>
    </xf>
    <xf numFmtId="0" fontId="8" fillId="0" borderId="28" xfId="0" applyFont="1" applyBorder="1" applyAlignment="1">
      <alignment vertical="center"/>
    </xf>
    <xf numFmtId="167" fontId="8" fillId="0" borderId="16" xfId="0" applyNumberFormat="1" applyFont="1" applyBorder="1" applyAlignment="1">
      <alignment vertical="center"/>
    </xf>
    <xf numFmtId="167" fontId="8" fillId="0" borderId="17" xfId="0" applyNumberFormat="1" applyFont="1" applyBorder="1" applyAlignment="1">
      <alignment vertical="center"/>
    </xf>
    <xf numFmtId="165" fontId="6" fillId="0" borderId="27" xfId="0" applyNumberFormat="1" applyFont="1" applyBorder="1" applyAlignment="1">
      <alignment vertical="center"/>
    </xf>
    <xf numFmtId="43" fontId="8" fillId="0" borderId="9" xfId="3" applyFont="1" applyBorder="1" applyAlignment="1">
      <alignment vertical="center"/>
    </xf>
    <xf numFmtId="0" fontId="2" fillId="2" borderId="0" xfId="0" applyFont="1" applyFill="1" applyAlignment="1">
      <alignment horizontal="center"/>
    </xf>
    <xf numFmtId="0" fontId="1" fillId="0" borderId="13" xfId="0" applyFont="1" applyBorder="1" applyAlignment="1">
      <alignment horizontal="left" vertical="center" indent="1"/>
    </xf>
    <xf numFmtId="0" fontId="7" fillId="5" borderId="11" xfId="0" applyFont="1" applyFill="1" applyBorder="1" applyAlignment="1">
      <alignment horizontal="left" vertical="center" indent="1"/>
    </xf>
    <xf numFmtId="0" fontId="1" fillId="5" borderId="27" xfId="0" applyFont="1" applyFill="1" applyBorder="1" applyAlignment="1">
      <alignment vertical="center"/>
    </xf>
    <xf numFmtId="0" fontId="7" fillId="5" borderId="9" xfId="0" applyFont="1" applyFill="1" applyBorder="1" applyAlignment="1">
      <alignment horizontal="center" vertical="center"/>
    </xf>
    <xf numFmtId="166" fontId="7" fillId="5" borderId="9" xfId="3" applyNumberFormat="1" applyFont="1" applyFill="1" applyBorder="1" applyAlignment="1">
      <alignment vertical="center"/>
    </xf>
    <xf numFmtId="165" fontId="7" fillId="5" borderId="8" xfId="0" applyNumberFormat="1" applyFont="1" applyFill="1" applyBorder="1" applyAlignment="1">
      <alignment vertical="center"/>
    </xf>
    <xf numFmtId="0" fontId="1" fillId="5" borderId="34"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10" xfId="0" applyFont="1" applyFill="1" applyBorder="1" applyAlignment="1">
      <alignment horizontal="center" vertical="center"/>
    </xf>
    <xf numFmtId="14" fontId="7" fillId="5" borderId="10" xfId="0" applyNumberFormat="1" applyFont="1" applyFill="1" applyBorder="1" applyAlignment="1">
      <alignment horizontal="center" vertical="center"/>
    </xf>
    <xf numFmtId="1" fontId="7" fillId="5" borderId="10" xfId="3" applyNumberFormat="1" applyFont="1" applyFill="1" applyBorder="1" applyAlignment="1">
      <alignment horizontal="center" vertical="center"/>
    </xf>
    <xf numFmtId="166" fontId="7" fillId="5" borderId="10" xfId="3" applyNumberFormat="1" applyFont="1" applyFill="1" applyBorder="1" applyAlignment="1">
      <alignment vertical="center"/>
    </xf>
    <xf numFmtId="170" fontId="7" fillId="5" borderId="9" xfId="0" applyNumberFormat="1" applyFont="1" applyFill="1" applyBorder="1" applyAlignment="1">
      <alignment horizontal="center" vertical="center"/>
    </xf>
    <xf numFmtId="165" fontId="7" fillId="5" borderId="10" xfId="3" applyNumberFormat="1" applyFont="1" applyFill="1" applyBorder="1" applyAlignment="1">
      <alignment vertical="center"/>
    </xf>
    <xf numFmtId="165" fontId="7" fillId="5" borderId="9" xfId="0" applyNumberFormat="1" applyFont="1" applyFill="1" applyBorder="1" applyAlignment="1">
      <alignment vertical="center"/>
    </xf>
    <xf numFmtId="169" fontId="7" fillId="5" borderId="10" xfId="2" applyNumberFormat="1" applyFont="1" applyFill="1" applyBorder="1" applyAlignment="1">
      <alignment horizontal="center" vertical="center"/>
    </xf>
    <xf numFmtId="10" fontId="7" fillId="5" borderId="27" xfId="2" applyNumberFormat="1" applyFont="1" applyFill="1" applyBorder="1" applyAlignment="1">
      <alignment horizontal="center" vertical="center"/>
    </xf>
    <xf numFmtId="165" fontId="11" fillId="5" borderId="9" xfId="0" applyNumberFormat="1" applyFont="1" applyFill="1" applyBorder="1" applyAlignment="1">
      <alignment vertical="center"/>
    </xf>
    <xf numFmtId="0" fontId="7" fillId="5" borderId="11" xfId="0" applyFont="1" applyFill="1" applyBorder="1" applyAlignment="1">
      <alignment horizontal="left" vertical="center" indent="2"/>
    </xf>
    <xf numFmtId="0" fontId="1" fillId="5" borderId="0" xfId="0" applyFont="1" applyFill="1" applyAlignment="1">
      <alignment vertical="center"/>
    </xf>
    <xf numFmtId="0" fontId="1" fillId="5" borderId="0" xfId="0" applyFont="1" applyFill="1" applyAlignment="1">
      <alignment horizontal="left" vertical="center" indent="1"/>
    </xf>
    <xf numFmtId="0" fontId="7" fillId="5" borderId="0" xfId="0" applyFont="1" applyFill="1" applyAlignment="1">
      <alignment horizontal="left" vertical="center" indent="1"/>
    </xf>
    <xf numFmtId="0" fontId="7" fillId="5" borderId="8" xfId="0" applyFont="1" applyFill="1" applyBorder="1" applyAlignment="1">
      <alignment horizontal="center" vertical="center"/>
    </xf>
    <xf numFmtId="169" fontId="7" fillId="5" borderId="9" xfId="2" applyNumberFormat="1" applyFont="1" applyFill="1" applyBorder="1" applyAlignment="1">
      <alignment horizontal="center" vertical="center"/>
    </xf>
    <xf numFmtId="171" fontId="7" fillId="5" borderId="10" xfId="3" applyNumberFormat="1" applyFont="1" applyFill="1" applyBorder="1" applyAlignment="1">
      <alignment horizontal="center" vertical="center"/>
    </xf>
    <xf numFmtId="165" fontId="7" fillId="5" borderId="27" xfId="0" applyNumberFormat="1" applyFont="1" applyFill="1" applyBorder="1" applyAlignment="1">
      <alignment vertical="center"/>
    </xf>
    <xf numFmtId="0" fontId="7" fillId="5" borderId="0" xfId="0" applyFont="1" applyFill="1" applyAlignment="1">
      <alignment vertical="center"/>
    </xf>
    <xf numFmtId="0" fontId="7" fillId="5" borderId="27" xfId="0" applyFont="1" applyFill="1" applyBorder="1" applyAlignment="1">
      <alignment vertical="center"/>
    </xf>
    <xf numFmtId="10" fontId="7" fillId="5" borderId="27" xfId="0" applyNumberFormat="1" applyFont="1" applyFill="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0" borderId="52" xfId="0" applyFont="1" applyBorder="1" applyAlignment="1">
      <alignment vertical="center"/>
    </xf>
    <xf numFmtId="43" fontId="7" fillId="5" borderId="10" xfId="3" applyFont="1" applyFill="1" applyBorder="1" applyAlignment="1">
      <alignment vertical="center"/>
    </xf>
    <xf numFmtId="169" fontId="1" fillId="0" borderId="10" xfId="0" applyNumberFormat="1" applyFont="1" applyBorder="1" applyAlignment="1">
      <alignment horizontal="center" vertical="center"/>
    </xf>
    <xf numFmtId="169" fontId="1" fillId="0" borderId="9" xfId="2" applyNumberFormat="1" applyFont="1" applyBorder="1" applyAlignment="1">
      <alignment horizontal="center" vertical="center"/>
    </xf>
    <xf numFmtId="169" fontId="1" fillId="0" borderId="16" xfId="2" applyNumberFormat="1" applyFont="1" applyBorder="1" applyAlignment="1">
      <alignment horizontal="center" vertical="center"/>
    </xf>
    <xf numFmtId="0" fontId="1" fillId="0" borderId="31" xfId="0" applyFont="1" applyBorder="1" applyAlignment="1">
      <alignment vertical="center"/>
    </xf>
    <xf numFmtId="169" fontId="1" fillId="0" borderId="9" xfId="0" applyNumberFormat="1" applyFont="1" applyBorder="1" applyAlignment="1">
      <alignment horizontal="center" vertical="center"/>
    </xf>
    <xf numFmtId="174" fontId="4" fillId="0" borderId="4" xfId="0" applyNumberFormat="1" applyFont="1" applyBorder="1" applyAlignment="1">
      <alignment horizontal="center" vertical="center"/>
    </xf>
    <xf numFmtId="10" fontId="7" fillId="5" borderId="9" xfId="0" applyNumberFormat="1" applyFont="1" applyFill="1" applyBorder="1" applyAlignment="1">
      <alignment horizontal="center" vertical="center"/>
    </xf>
    <xf numFmtId="9" fontId="1" fillId="0" borderId="9" xfId="0" applyNumberFormat="1" applyFont="1" applyBorder="1" applyAlignment="1">
      <alignment vertical="center"/>
    </xf>
    <xf numFmtId="2" fontId="8" fillId="0" borderId="9" xfId="0" applyNumberFormat="1" applyFont="1" applyBorder="1" applyAlignment="1">
      <alignment vertical="center"/>
    </xf>
    <xf numFmtId="2" fontId="8" fillId="0" borderId="10" xfId="0" applyNumberFormat="1" applyFont="1" applyBorder="1" applyAlignment="1">
      <alignment vertical="center"/>
    </xf>
    <xf numFmtId="9" fontId="4" fillId="0" borderId="6" xfId="0" applyNumberFormat="1" applyFont="1" applyBorder="1" applyAlignment="1">
      <alignment vertical="center"/>
    </xf>
    <xf numFmtId="0" fontId="4" fillId="0" borderId="32" xfId="0" applyFont="1" applyBorder="1" applyAlignment="1">
      <alignment vertical="center"/>
    </xf>
    <xf numFmtId="165" fontId="4" fillId="0" borderId="33" xfId="0" applyNumberFormat="1" applyFont="1" applyBorder="1" applyAlignment="1">
      <alignment vertical="center"/>
    </xf>
    <xf numFmtId="0" fontId="4" fillId="0" borderId="46" xfId="0" applyFont="1" applyBorder="1" applyAlignment="1">
      <alignment vertical="center"/>
    </xf>
    <xf numFmtId="165" fontId="4" fillId="0" borderId="47" xfId="0" applyNumberFormat="1" applyFont="1" applyBorder="1" applyAlignment="1">
      <alignment vertical="center"/>
    </xf>
    <xf numFmtId="169" fontId="6" fillId="0" borderId="10" xfId="0" applyNumberFormat="1" applyFont="1" applyBorder="1" applyAlignment="1">
      <alignment horizontal="center" vertical="center"/>
    </xf>
    <xf numFmtId="0" fontId="4" fillId="3" borderId="9" xfId="0" applyFont="1" applyFill="1" applyBorder="1" applyAlignment="1">
      <alignment horizontal="center" vertical="center"/>
    </xf>
    <xf numFmtId="0" fontId="4" fillId="0" borderId="29" xfId="0" applyFont="1" applyBorder="1" applyAlignment="1">
      <alignment horizontal="left" vertical="center" indent="2"/>
    </xf>
    <xf numFmtId="0" fontId="7" fillId="5" borderId="11" xfId="0" applyFont="1" applyFill="1" applyBorder="1" applyAlignment="1">
      <alignment horizontal="center" vertical="center"/>
    </xf>
    <xf numFmtId="0" fontId="7" fillId="5" borderId="4" xfId="0" applyFont="1" applyFill="1" applyBorder="1" applyAlignment="1">
      <alignment horizontal="center" vertical="center"/>
    </xf>
    <xf numFmtId="0" fontId="7" fillId="0" borderId="0" xfId="0" applyFont="1" applyAlignment="1">
      <alignment horizontal="center" vertical="center"/>
    </xf>
    <xf numFmtId="166" fontId="7" fillId="5" borderId="30" xfId="3" applyNumberFormat="1" applyFont="1" applyFill="1" applyBorder="1" applyAlignment="1">
      <alignment horizontal="center" vertical="center"/>
    </xf>
    <xf numFmtId="173" fontId="4" fillId="0" borderId="28" xfId="0" applyNumberFormat="1" applyFont="1" applyBorder="1" applyAlignment="1">
      <alignment horizontal="center" vertical="center"/>
    </xf>
    <xf numFmtId="168" fontId="4" fillId="0" borderId="6" xfId="0" applyNumberFormat="1" applyFont="1" applyBorder="1" applyAlignment="1">
      <alignment horizontal="center" vertical="center"/>
    </xf>
    <xf numFmtId="175" fontId="4" fillId="0" borderId="16" xfId="0" applyNumberFormat="1" applyFont="1" applyBorder="1" applyAlignment="1">
      <alignment vertical="center"/>
    </xf>
    <xf numFmtId="166" fontId="7" fillId="5" borderId="30" xfId="3" applyNumberFormat="1" applyFont="1" applyFill="1" applyBorder="1" applyAlignment="1">
      <alignment vertical="center"/>
    </xf>
    <xf numFmtId="175" fontId="4" fillId="0" borderId="18" xfId="0" applyNumberFormat="1" applyFont="1" applyBorder="1" applyAlignment="1">
      <alignment vertical="center"/>
    </xf>
    <xf numFmtId="3" fontId="4" fillId="0" borderId="29" xfId="3" applyNumberFormat="1" applyFont="1" applyBorder="1" applyAlignment="1">
      <alignment vertical="center"/>
    </xf>
    <xf numFmtId="1" fontId="4" fillId="0" borderId="6" xfId="3" applyNumberFormat="1" applyFont="1" applyBorder="1" applyAlignment="1">
      <alignment vertical="center"/>
    </xf>
    <xf numFmtId="0" fontId="4" fillId="0" borderId="0" xfId="0" applyFont="1" applyAlignment="1">
      <alignment horizontal="left"/>
    </xf>
    <xf numFmtId="1" fontId="7" fillId="5" borderId="9" xfId="0" applyNumberFormat="1" applyFont="1" applyFill="1" applyBorder="1" applyAlignment="1">
      <alignment horizontal="center" vertical="center"/>
    </xf>
    <xf numFmtId="3" fontId="4" fillId="0" borderId="5" xfId="3" applyNumberFormat="1" applyFont="1" applyBorder="1" applyAlignment="1">
      <alignment vertical="center"/>
    </xf>
    <xf numFmtId="166" fontId="7" fillId="5" borderId="8" xfId="3" applyNumberFormat="1" applyFont="1" applyFill="1" applyBorder="1" applyAlignment="1">
      <alignment horizontal="center" vertical="center"/>
    </xf>
    <xf numFmtId="10" fontId="7" fillId="0" borderId="27" xfId="2" applyNumberFormat="1" applyFont="1" applyFill="1" applyBorder="1" applyAlignment="1">
      <alignment horizontal="center" vertical="center"/>
    </xf>
    <xf numFmtId="0" fontId="4" fillId="0" borderId="11" xfId="0" applyFont="1" applyBorder="1" applyAlignment="1">
      <alignment horizontal="left" vertical="center" indent="3"/>
    </xf>
    <xf numFmtId="0" fontId="1" fillId="0" borderId="11" xfId="0" applyFont="1" applyBorder="1"/>
    <xf numFmtId="0" fontId="1" fillId="0" borderId="9" xfId="0" applyFont="1" applyBorder="1"/>
    <xf numFmtId="0" fontId="1" fillId="0" borderId="13" xfId="0" applyFont="1" applyBorder="1" applyAlignment="1">
      <alignment horizontal="left" indent="2"/>
    </xf>
    <xf numFmtId="0" fontId="4" fillId="3" borderId="22" xfId="0" applyFont="1" applyFill="1" applyBorder="1"/>
    <xf numFmtId="0" fontId="4" fillId="3" borderId="23" xfId="0" applyFont="1" applyFill="1" applyBorder="1"/>
    <xf numFmtId="0" fontId="4" fillId="3" borderId="6" xfId="0" applyFont="1" applyFill="1" applyBorder="1"/>
    <xf numFmtId="0" fontId="4" fillId="3" borderId="24" xfId="0" applyFont="1" applyFill="1" applyBorder="1"/>
    <xf numFmtId="0" fontId="4" fillId="3" borderId="11" xfId="0" applyFont="1" applyFill="1" applyBorder="1"/>
    <xf numFmtId="0" fontId="4" fillId="3" borderId="0" xfId="0" applyFont="1" applyFill="1"/>
    <xf numFmtId="0" fontId="4" fillId="3" borderId="9" xfId="0" applyFont="1" applyFill="1" applyBorder="1"/>
    <xf numFmtId="0" fontId="4" fillId="3" borderId="12" xfId="0" applyFont="1" applyFill="1" applyBorder="1"/>
    <xf numFmtId="164" fontId="1" fillId="0" borderId="9" xfId="0" applyNumberFormat="1" applyFont="1" applyBorder="1"/>
    <xf numFmtId="164" fontId="4" fillId="0" borderId="6" xfId="0" applyNumberFormat="1" applyFont="1" applyBorder="1"/>
    <xf numFmtId="0" fontId="1" fillId="5" borderId="27" xfId="0" applyFont="1" applyFill="1" applyBorder="1" applyAlignment="1">
      <alignment horizontal="left" vertical="center" indent="1"/>
    </xf>
    <xf numFmtId="0" fontId="7" fillId="5" borderId="27" xfId="0" applyFont="1" applyFill="1" applyBorder="1" applyAlignment="1">
      <alignment horizontal="left" vertical="center" indent="1"/>
    </xf>
    <xf numFmtId="0" fontId="1" fillId="0" borderId="27" xfId="0" applyFont="1" applyBorder="1" applyAlignment="1">
      <alignment horizontal="left" vertical="center" indent="1"/>
    </xf>
    <xf numFmtId="0" fontId="4" fillId="3" borderId="29" xfId="0" applyFont="1" applyFill="1" applyBorder="1" applyAlignment="1">
      <alignment vertical="center"/>
    </xf>
    <xf numFmtId="165" fontId="4" fillId="0" borderId="29" xfId="0" applyNumberFormat="1" applyFont="1" applyBorder="1" applyAlignment="1">
      <alignment vertical="center"/>
    </xf>
    <xf numFmtId="0" fontId="1" fillId="0" borderId="30" xfId="0" applyFont="1" applyBorder="1" applyAlignment="1">
      <alignment vertical="center"/>
    </xf>
    <xf numFmtId="0" fontId="4" fillId="3" borderId="30" xfId="0" applyFont="1" applyFill="1" applyBorder="1" applyAlignment="1">
      <alignment vertical="center"/>
    </xf>
    <xf numFmtId="0" fontId="1" fillId="0" borderId="30" xfId="0" applyFont="1" applyBorder="1" applyAlignment="1">
      <alignment horizontal="center" vertical="center"/>
    </xf>
    <xf numFmtId="169" fontId="1" fillId="0" borderId="30" xfId="0" applyNumberFormat="1" applyFont="1" applyBorder="1" applyAlignment="1">
      <alignment horizontal="center" vertical="center"/>
    </xf>
    <xf numFmtId="165" fontId="1" fillId="0" borderId="30" xfId="0" applyNumberFormat="1" applyFont="1" applyBorder="1" applyAlignment="1">
      <alignment vertical="center"/>
    </xf>
    <xf numFmtId="165" fontId="8" fillId="0" borderId="30" xfId="0" applyNumberFormat="1" applyFont="1" applyBorder="1" applyAlignment="1">
      <alignment vertical="center"/>
    </xf>
    <xf numFmtId="167" fontId="8" fillId="0" borderId="18" xfId="0" applyNumberFormat="1" applyFont="1" applyBorder="1" applyAlignment="1">
      <alignment vertical="center"/>
    </xf>
    <xf numFmtId="0" fontId="8" fillId="0" borderId="11" xfId="0" applyFont="1" applyBorder="1" applyAlignment="1">
      <alignment horizontal="left" vertical="center" indent="2"/>
    </xf>
    <xf numFmtId="169" fontId="6" fillId="0" borderId="30" xfId="0" applyNumberFormat="1" applyFont="1" applyBorder="1" applyAlignment="1">
      <alignment horizontal="center" vertical="center"/>
    </xf>
    <xf numFmtId="169" fontId="1" fillId="0" borderId="0" xfId="0" applyNumberFormat="1" applyFont="1" applyAlignment="1">
      <alignment horizontal="center"/>
    </xf>
    <xf numFmtId="164" fontId="6" fillId="0" borderId="6" xfId="1" applyNumberFormat="1" applyFont="1" applyBorder="1"/>
    <xf numFmtId="0" fontId="7" fillId="5" borderId="27" xfId="2" applyNumberFormat="1" applyFont="1" applyFill="1" applyBorder="1" applyAlignment="1">
      <alignment horizontal="center" vertical="center"/>
    </xf>
    <xf numFmtId="2" fontId="1" fillId="0" borderId="9" xfId="0" applyNumberFormat="1" applyFont="1" applyBorder="1" applyAlignment="1">
      <alignment horizontal="center" vertical="center"/>
    </xf>
    <xf numFmtId="10" fontId="9" fillId="0" borderId="6" xfId="0" applyNumberFormat="1" applyFont="1" applyBorder="1" applyAlignment="1">
      <alignment horizontal="center"/>
    </xf>
    <xf numFmtId="10" fontId="9" fillId="0" borderId="7" xfId="0" applyNumberFormat="1" applyFont="1" applyBorder="1" applyAlignment="1">
      <alignment horizontal="center"/>
    </xf>
    <xf numFmtId="10" fontId="9" fillId="0" borderId="9" xfId="0" applyNumberFormat="1" applyFont="1" applyBorder="1" applyAlignment="1">
      <alignment horizontal="center"/>
    </xf>
    <xf numFmtId="165" fontId="9" fillId="0" borderId="30" xfId="0" applyNumberFormat="1" applyFont="1" applyBorder="1" applyAlignment="1">
      <alignment horizontal="right" vertical="center"/>
    </xf>
    <xf numFmtId="165" fontId="9" fillId="0" borderId="10" xfId="0" applyNumberFormat="1" applyFont="1" applyBorder="1" applyAlignment="1">
      <alignment horizontal="right" vertical="center"/>
    </xf>
    <xf numFmtId="0" fontId="4" fillId="7" borderId="1" xfId="0" applyFont="1" applyFill="1" applyBorder="1" applyAlignment="1">
      <alignment vertical="center"/>
    </xf>
    <xf numFmtId="0" fontId="4" fillId="7" borderId="2" xfId="0" applyFont="1" applyFill="1" applyBorder="1" applyAlignment="1">
      <alignment vertical="center"/>
    </xf>
    <xf numFmtId="0" fontId="4" fillId="7" borderId="3" xfId="0" applyFont="1" applyFill="1" applyBorder="1" applyAlignment="1">
      <alignment vertical="center"/>
    </xf>
    <xf numFmtId="0" fontId="1" fillId="0" borderId="22" xfId="0" applyFont="1" applyBorder="1"/>
    <xf numFmtId="0" fontId="4" fillId="0" borderId="1" xfId="0" applyFont="1" applyBorder="1" applyAlignment="1">
      <alignment vertical="center"/>
    </xf>
    <xf numFmtId="0" fontId="4" fillId="0" borderId="32" xfId="0" applyFont="1" applyBorder="1" applyAlignment="1">
      <alignment horizontal="center" vertical="center"/>
    </xf>
    <xf numFmtId="164" fontId="7" fillId="5" borderId="6" xfId="0" applyNumberFormat="1" applyFont="1" applyFill="1" applyBorder="1"/>
    <xf numFmtId="164" fontId="7" fillId="5" borderId="24" xfId="0" applyNumberFormat="1" applyFont="1" applyFill="1" applyBorder="1"/>
    <xf numFmtId="164" fontId="7" fillId="5" borderId="9" xfId="0" applyNumberFormat="1" applyFont="1" applyFill="1" applyBorder="1"/>
    <xf numFmtId="164" fontId="7" fillId="5" borderId="12" xfId="0" applyNumberFormat="1" applyFont="1" applyFill="1" applyBorder="1"/>
    <xf numFmtId="164" fontId="7" fillId="5" borderId="16" xfId="0" applyNumberFormat="1" applyFont="1" applyFill="1" applyBorder="1"/>
    <xf numFmtId="164" fontId="7" fillId="5" borderId="14" xfId="0" applyNumberFormat="1" applyFont="1" applyFill="1" applyBorder="1"/>
    <xf numFmtId="0" fontId="4" fillId="0" borderId="4" xfId="0" applyFont="1" applyBorder="1" applyAlignment="1">
      <alignment horizontal="center"/>
    </xf>
    <xf numFmtId="9" fontId="6" fillId="0" borderId="27" xfId="2" applyFont="1" applyFill="1" applyBorder="1" applyAlignment="1">
      <alignment horizontal="center" vertical="center"/>
    </xf>
    <xf numFmtId="9" fontId="1" fillId="0" borderId="12" xfId="0" applyNumberFormat="1" applyFont="1" applyBorder="1" applyAlignment="1">
      <alignment horizontal="center"/>
    </xf>
    <xf numFmtId="9" fontId="4" fillId="0" borderId="24" xfId="0" applyNumberFormat="1" applyFont="1" applyBorder="1" applyAlignment="1">
      <alignment horizontal="center"/>
    </xf>
    <xf numFmtId="178" fontId="4" fillId="0" borderId="18" xfId="0" applyNumberFormat="1" applyFont="1" applyBorder="1" applyAlignment="1">
      <alignment horizontal="center" vertical="center"/>
    </xf>
    <xf numFmtId="165" fontId="1" fillId="0" borderId="0" xfId="0" applyNumberFormat="1" applyFont="1"/>
    <xf numFmtId="0" fontId="17" fillId="10" borderId="3" xfId="0" applyFont="1" applyFill="1" applyBorder="1" applyAlignment="1">
      <alignment horizontal="center" vertical="center"/>
    </xf>
    <xf numFmtId="179" fontId="7" fillId="5" borderId="27" xfId="0" applyNumberFormat="1" applyFont="1" applyFill="1" applyBorder="1" applyAlignment="1">
      <alignment horizontal="center" vertical="center"/>
    </xf>
    <xf numFmtId="165" fontId="6" fillId="0" borderId="9" xfId="0" applyNumberFormat="1" applyFont="1" applyBorder="1" applyAlignment="1">
      <alignment horizontal="right" vertical="center"/>
    </xf>
    <xf numFmtId="180" fontId="7" fillId="5" borderId="27" xfId="0" applyNumberFormat="1" applyFont="1" applyFill="1" applyBorder="1" applyAlignment="1">
      <alignment horizontal="center" vertical="center"/>
    </xf>
    <xf numFmtId="165" fontId="6" fillId="0" borderId="30" xfId="0" applyNumberFormat="1" applyFont="1" applyBorder="1" applyAlignment="1">
      <alignment horizontal="right" vertical="center"/>
    </xf>
    <xf numFmtId="177" fontId="6" fillId="0" borderId="15" xfId="0" applyNumberFormat="1" applyFont="1" applyBorder="1" applyAlignment="1">
      <alignment horizontal="center"/>
    </xf>
    <xf numFmtId="10" fontId="9" fillId="0" borderId="16" xfId="0" applyNumberFormat="1" applyFont="1" applyBorder="1" applyAlignment="1">
      <alignment horizontal="center"/>
    </xf>
    <xf numFmtId="165" fontId="6" fillId="0" borderId="6" xfId="0" applyNumberFormat="1" applyFont="1" applyBorder="1"/>
    <xf numFmtId="165" fontId="6" fillId="0" borderId="7" xfId="0" applyNumberFormat="1" applyFont="1" applyBorder="1"/>
    <xf numFmtId="165" fontId="6" fillId="0" borderId="9" xfId="0" applyNumberFormat="1" applyFont="1" applyBorder="1"/>
    <xf numFmtId="165" fontId="6" fillId="0" borderId="10" xfId="0" applyNumberFormat="1" applyFont="1" applyBorder="1"/>
    <xf numFmtId="10" fontId="6" fillId="0" borderId="6" xfId="0" applyNumberFormat="1" applyFont="1" applyBorder="1" applyAlignment="1">
      <alignment horizontal="center"/>
    </xf>
    <xf numFmtId="10" fontId="6" fillId="0" borderId="9" xfId="0" applyNumberFormat="1" applyFont="1" applyBorder="1" applyAlignment="1">
      <alignment horizontal="center"/>
    </xf>
    <xf numFmtId="0" fontId="6" fillId="0" borderId="9" xfId="0" applyFont="1" applyBorder="1" applyAlignment="1">
      <alignment horizontal="center"/>
    </xf>
    <xf numFmtId="172" fontId="6" fillId="0" borderId="6" xfId="3" applyNumberFormat="1" applyFont="1" applyBorder="1"/>
    <xf numFmtId="10" fontId="6" fillId="0" borderId="6" xfId="2" applyNumberFormat="1" applyFont="1" applyBorder="1" applyAlignment="1">
      <alignment horizontal="center"/>
    </xf>
    <xf numFmtId="172" fontId="6" fillId="0" borderId="9" xfId="3" applyNumberFormat="1" applyFont="1" applyBorder="1"/>
    <xf numFmtId="10" fontId="6" fillId="0" borderId="9" xfId="2" applyNumberFormat="1" applyFont="1" applyBorder="1" applyAlignment="1">
      <alignment horizontal="center"/>
    </xf>
    <xf numFmtId="3" fontId="4" fillId="0" borderId="7" xfId="3" applyNumberFormat="1" applyFont="1" applyBorder="1" applyAlignment="1">
      <alignment vertical="center"/>
    </xf>
    <xf numFmtId="175" fontId="4" fillId="0" borderId="17" xfId="0" applyNumberFormat="1" applyFont="1" applyBorder="1" applyAlignment="1">
      <alignment vertical="center"/>
    </xf>
    <xf numFmtId="1" fontId="7" fillId="5" borderId="30" xfId="3" applyNumberFormat="1" applyFont="1" applyFill="1" applyBorder="1" applyAlignment="1">
      <alignment horizontal="center" vertical="center"/>
    </xf>
    <xf numFmtId="14" fontId="7" fillId="5" borderId="7" xfId="3" applyNumberFormat="1" applyFont="1" applyFill="1" applyBorder="1" applyAlignment="1">
      <alignment horizontal="center" vertical="center"/>
    </xf>
    <xf numFmtId="0" fontId="7" fillId="5" borderId="6" xfId="3" applyNumberFormat="1" applyFont="1" applyFill="1" applyBorder="1" applyAlignment="1">
      <alignment horizontal="center" vertical="center"/>
    </xf>
    <xf numFmtId="0" fontId="7" fillId="5" borderId="9" xfId="3" applyNumberFormat="1" applyFont="1" applyFill="1" applyBorder="1" applyAlignment="1">
      <alignment horizontal="center" vertical="center"/>
    </xf>
    <xf numFmtId="14" fontId="7" fillId="5" borderId="10" xfId="3" applyNumberFormat="1" applyFont="1" applyFill="1" applyBorder="1" applyAlignment="1">
      <alignment horizontal="center" vertical="center"/>
    </xf>
    <xf numFmtId="164" fontId="4" fillId="0" borderId="26" xfId="0" applyNumberFormat="1" applyFont="1" applyBorder="1" applyAlignment="1">
      <alignment vertical="center"/>
    </xf>
    <xf numFmtId="164" fontId="6" fillId="0" borderId="6"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4" fillId="0" borderId="6" xfId="0" applyNumberFormat="1" applyFont="1" applyBorder="1" applyAlignment="1">
      <alignment vertical="center"/>
    </xf>
    <xf numFmtId="0" fontId="1" fillId="0" borderId="1" xfId="0" applyFont="1" applyBorder="1"/>
    <xf numFmtId="9" fontId="4" fillId="0" borderId="1" xfId="0" applyNumberFormat="1" applyFont="1" applyBorder="1"/>
    <xf numFmtId="181" fontId="4" fillId="0" borderId="4" xfId="0" applyNumberFormat="1" applyFont="1" applyBorder="1" applyAlignment="1">
      <alignment horizontal="center"/>
    </xf>
    <xf numFmtId="9" fontId="1" fillId="0" borderId="32" xfId="0" applyNumberFormat="1" applyFont="1" applyBorder="1" applyAlignment="1">
      <alignment horizontal="center"/>
    </xf>
    <xf numFmtId="164" fontId="1" fillId="0" borderId="32" xfId="0" applyNumberFormat="1" applyFont="1" applyBorder="1"/>
    <xf numFmtId="164" fontId="1" fillId="0" borderId="33" xfId="0" applyNumberFormat="1" applyFont="1" applyBorder="1"/>
    <xf numFmtId="169" fontId="1" fillId="0" borderId="32" xfId="0" applyNumberFormat="1" applyFont="1" applyBorder="1" applyAlignment="1">
      <alignment horizontal="center"/>
    </xf>
    <xf numFmtId="169" fontId="1" fillId="0" borderId="33" xfId="0" applyNumberFormat="1" applyFont="1" applyBorder="1" applyAlignment="1">
      <alignment horizontal="center"/>
    </xf>
    <xf numFmtId="182" fontId="4" fillId="0" borderId="18" xfId="0" applyNumberFormat="1" applyFont="1" applyBorder="1" applyAlignment="1">
      <alignment horizontal="center" vertical="center"/>
    </xf>
    <xf numFmtId="183" fontId="1" fillId="0" borderId="10" xfId="2" applyNumberFormat="1" applyFont="1" applyBorder="1" applyAlignment="1">
      <alignment horizontal="center" vertical="center"/>
    </xf>
    <xf numFmtId="173" fontId="1" fillId="0" borderId="10" xfId="2" applyNumberFormat="1" applyFont="1" applyBorder="1" applyAlignment="1">
      <alignment horizontal="center" vertical="center"/>
    </xf>
    <xf numFmtId="0" fontId="7" fillId="5" borderId="19" xfId="0" applyFont="1" applyFill="1" applyBorder="1" applyAlignment="1">
      <alignment horizontal="center"/>
    </xf>
    <xf numFmtId="0" fontId="7" fillId="5" borderId="20" xfId="0" applyFont="1" applyFill="1" applyBorder="1" applyAlignment="1">
      <alignment horizontal="center"/>
    </xf>
    <xf numFmtId="0" fontId="1" fillId="0" borderId="13" xfId="0" applyFont="1" applyBorder="1" applyAlignment="1">
      <alignment horizontal="left" indent="1"/>
    </xf>
    <xf numFmtId="0" fontId="7" fillId="5" borderId="21" xfId="0" applyFont="1" applyFill="1" applyBorder="1" applyAlignment="1">
      <alignment horizontal="center"/>
    </xf>
    <xf numFmtId="0" fontId="9" fillId="0" borderId="5" xfId="0" applyFont="1" applyBorder="1" applyAlignment="1">
      <alignment horizontal="center"/>
    </xf>
    <xf numFmtId="0" fontId="9" fillId="0" borderId="8" xfId="0" applyFont="1" applyBorder="1" applyAlignment="1">
      <alignment horizontal="center"/>
    </xf>
    <xf numFmtId="0" fontId="1" fillId="0" borderId="0" xfId="0" applyFont="1" applyAlignment="1">
      <alignment horizontal="center" vertical="center"/>
    </xf>
    <xf numFmtId="0" fontId="1" fillId="0" borderId="31" xfId="0" applyFont="1" applyBorder="1" applyAlignment="1">
      <alignment horizontal="center" vertical="center"/>
    </xf>
    <xf numFmtId="165" fontId="1" fillId="0" borderId="9" xfId="0" applyNumberFormat="1" applyFont="1" applyBorder="1" applyAlignment="1">
      <alignment horizontal="center" vertical="center"/>
    </xf>
    <xf numFmtId="165" fontId="1" fillId="0" borderId="30" xfId="0" applyNumberFormat="1" applyFont="1" applyBorder="1" applyAlignment="1">
      <alignment horizontal="center" vertical="center"/>
    </xf>
    <xf numFmtId="165" fontId="1" fillId="0" borderId="10"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30"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6" fillId="0" borderId="0" xfId="0" applyFont="1" applyAlignment="1">
      <alignment vertical="center"/>
    </xf>
    <xf numFmtId="177" fontId="6" fillId="0" borderId="8" xfId="0" applyNumberFormat="1" applyFont="1" applyBorder="1" applyAlignment="1">
      <alignment horizontal="center"/>
    </xf>
    <xf numFmtId="0" fontId="8" fillId="0" borderId="0" xfId="0" applyFont="1"/>
    <xf numFmtId="167" fontId="1" fillId="0" borderId="10" xfId="3" applyNumberFormat="1" applyFont="1" applyFill="1" applyBorder="1" applyAlignment="1">
      <alignment vertical="center"/>
    </xf>
    <xf numFmtId="164" fontId="6" fillId="0" borderId="9" xfId="1" applyNumberFormat="1" applyFont="1" applyBorder="1"/>
    <xf numFmtId="164" fontId="6" fillId="0" borderId="62" xfId="1" applyNumberFormat="1" applyFont="1" applyBorder="1"/>
    <xf numFmtId="164" fontId="6" fillId="0" borderId="7" xfId="1" applyNumberFormat="1" applyFont="1" applyBorder="1"/>
    <xf numFmtId="164" fontId="6" fillId="0" borderId="10" xfId="1" applyNumberFormat="1" applyFont="1" applyBorder="1"/>
    <xf numFmtId="164" fontId="6" fillId="0" borderId="12" xfId="1" applyNumberFormat="1" applyFont="1" applyBorder="1"/>
    <xf numFmtId="9" fontId="6" fillId="0" borderId="11" xfId="0" applyNumberFormat="1" applyFont="1" applyBorder="1" applyAlignment="1">
      <alignment horizontal="center"/>
    </xf>
    <xf numFmtId="167" fontId="21" fillId="2" borderId="7" xfId="3" applyNumberFormat="1" applyFont="1" applyFill="1" applyBorder="1" applyAlignment="1">
      <alignment vertical="center"/>
    </xf>
    <xf numFmtId="165" fontId="21" fillId="2" borderId="19" xfId="3" applyNumberFormat="1" applyFont="1" applyFill="1" applyBorder="1" applyAlignment="1">
      <alignment vertical="center"/>
    </xf>
    <xf numFmtId="3" fontId="6" fillId="0" borderId="30" xfId="3" applyNumberFormat="1" applyFont="1" applyFill="1" applyBorder="1" applyAlignment="1">
      <alignment vertical="center"/>
    </xf>
    <xf numFmtId="3" fontId="6" fillId="0" borderId="30" xfId="3" applyNumberFormat="1" applyFont="1" applyFill="1" applyBorder="1" applyAlignment="1">
      <alignment horizontal="right" vertical="center"/>
    </xf>
    <xf numFmtId="0" fontId="21" fillId="2" borderId="2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13" xfId="0" applyFont="1" applyFill="1" applyBorder="1" applyAlignment="1">
      <alignment horizontal="center" vertical="center" wrapText="1"/>
    </xf>
    <xf numFmtId="165" fontId="21" fillId="2" borderId="25" xfId="0" applyNumberFormat="1" applyFont="1" applyFill="1" applyBorder="1" applyAlignment="1">
      <alignment vertical="center"/>
    </xf>
    <xf numFmtId="167" fontId="21" fillId="2" borderId="25" xfId="3" applyNumberFormat="1" applyFont="1" applyFill="1" applyBorder="1" applyAlignment="1">
      <alignment vertical="center"/>
    </xf>
    <xf numFmtId="165" fontId="21" fillId="2" borderId="25" xfId="0" applyNumberFormat="1" applyFont="1" applyFill="1" applyBorder="1" applyAlignment="1">
      <alignment horizontal="right" vertical="center"/>
    </xf>
    <xf numFmtId="0" fontId="21" fillId="2" borderId="25" xfId="0" applyFont="1" applyFill="1" applyBorder="1" applyAlignment="1">
      <alignment horizontal="center"/>
    </xf>
    <xf numFmtId="0" fontId="21" fillId="2" borderId="14" xfId="0" applyFont="1" applyFill="1" applyBorder="1" applyAlignment="1">
      <alignment horizontal="center"/>
    </xf>
    <xf numFmtId="0" fontId="21" fillId="2" borderId="64" xfId="0" applyFont="1" applyFill="1" applyBorder="1" applyAlignment="1">
      <alignment horizontal="center" vertical="center" wrapText="1"/>
    </xf>
    <xf numFmtId="0" fontId="21" fillId="2" borderId="64" xfId="0" applyFont="1" applyFill="1" applyBorder="1" applyAlignment="1">
      <alignment horizontal="right" vertical="center" wrapText="1"/>
    </xf>
    <xf numFmtId="0" fontId="21" fillId="2" borderId="63" xfId="0" applyFont="1" applyFill="1" applyBorder="1" applyAlignment="1">
      <alignment horizontal="center" vertical="center" wrapText="1"/>
    </xf>
    <xf numFmtId="0" fontId="21" fillId="2" borderId="63" xfId="0" applyFont="1" applyFill="1" applyBorder="1" applyAlignment="1">
      <alignment horizontal="right" vertical="center" wrapText="1"/>
    </xf>
    <xf numFmtId="3" fontId="21" fillId="2" borderId="65" xfId="0" applyNumberFormat="1" applyFont="1" applyFill="1" applyBorder="1" applyAlignment="1">
      <alignment horizontal="right" vertical="center" wrapText="1"/>
    </xf>
    <xf numFmtId="3" fontId="21" fillId="2" borderId="66" xfId="0" applyNumberFormat="1" applyFont="1" applyFill="1" applyBorder="1" applyAlignment="1">
      <alignment horizontal="right" vertical="center" wrapText="1"/>
    </xf>
    <xf numFmtId="166" fontId="21" fillId="2" borderId="23" xfId="3" applyNumberFormat="1" applyFont="1" applyFill="1" applyBorder="1" applyAlignment="1">
      <alignment horizontal="center" vertical="center"/>
    </xf>
    <xf numFmtId="166" fontId="21" fillId="2" borderId="25" xfId="3" applyNumberFormat="1" applyFont="1" applyFill="1" applyBorder="1" applyAlignment="1">
      <alignment horizontal="center" vertical="center"/>
    </xf>
    <xf numFmtId="9" fontId="21" fillId="2" borderId="64" xfId="2" applyFont="1" applyFill="1" applyBorder="1" applyAlignment="1">
      <alignment horizontal="center" vertical="center"/>
    </xf>
    <xf numFmtId="0" fontId="21" fillId="2" borderId="64" xfId="2" applyNumberFormat="1" applyFont="1" applyFill="1" applyBorder="1" applyAlignment="1">
      <alignment horizontal="center" vertical="center"/>
    </xf>
    <xf numFmtId="166" fontId="21" fillId="2" borderId="64" xfId="3" applyNumberFormat="1" applyFont="1" applyFill="1" applyBorder="1" applyAlignment="1">
      <alignment horizontal="center" vertical="center"/>
    </xf>
    <xf numFmtId="9" fontId="21" fillId="2" borderId="63" xfId="2" applyFont="1" applyFill="1" applyBorder="1" applyAlignment="1">
      <alignment horizontal="center" vertical="center"/>
    </xf>
    <xf numFmtId="0" fontId="21" fillId="2" borderId="63" xfId="2" applyNumberFormat="1" applyFont="1" applyFill="1" applyBorder="1" applyAlignment="1">
      <alignment horizontal="center" vertical="center"/>
    </xf>
    <xf numFmtId="166" fontId="21" fillId="2" borderId="63" xfId="3" applyNumberFormat="1" applyFont="1" applyFill="1" applyBorder="1" applyAlignment="1">
      <alignment horizontal="center" vertical="center"/>
    </xf>
    <xf numFmtId="9" fontId="21" fillId="2" borderId="67" xfId="2" applyFont="1" applyFill="1" applyBorder="1" applyAlignment="1">
      <alignment horizontal="center" vertical="center"/>
    </xf>
    <xf numFmtId="9" fontId="21" fillId="2" borderId="68" xfId="2" applyFont="1" applyFill="1" applyBorder="1" applyAlignment="1">
      <alignment horizontal="center" vertical="center"/>
    </xf>
    <xf numFmtId="9" fontId="7" fillId="5" borderId="30" xfId="2" applyFont="1" applyFill="1" applyBorder="1" applyAlignment="1">
      <alignment horizontal="center" vertical="center"/>
    </xf>
    <xf numFmtId="168" fontId="4" fillId="0" borderId="23" xfId="0" applyNumberFormat="1" applyFont="1" applyBorder="1" applyAlignment="1">
      <alignment horizontal="center" vertical="center"/>
    </xf>
    <xf numFmtId="164" fontId="21" fillId="2" borderId="69" xfId="2" applyNumberFormat="1" applyFont="1" applyFill="1" applyBorder="1" applyAlignment="1">
      <alignment horizontal="center" vertical="center"/>
    </xf>
    <xf numFmtId="164" fontId="21" fillId="2" borderId="70" xfId="2" applyNumberFormat="1" applyFont="1" applyFill="1" applyBorder="1" applyAlignment="1">
      <alignment horizontal="center" vertical="center"/>
    </xf>
    <xf numFmtId="164" fontId="7" fillId="5" borderId="8" xfId="2" applyNumberFormat="1" applyFont="1" applyFill="1" applyBorder="1" applyAlignment="1">
      <alignment horizontal="center" vertical="center"/>
    </xf>
    <xf numFmtId="168" fontId="4" fillId="0" borderId="5" xfId="0" applyNumberFormat="1" applyFont="1" applyBorder="1" applyAlignment="1">
      <alignment horizontal="center" vertical="center"/>
    </xf>
    <xf numFmtId="173" fontId="4" fillId="0" borderId="15" xfId="0" applyNumberFormat="1" applyFont="1" applyBorder="1" applyAlignment="1">
      <alignment horizontal="center" vertical="center"/>
    </xf>
    <xf numFmtId="165" fontId="21" fillId="2" borderId="13" xfId="0" applyNumberFormat="1" applyFont="1" applyFill="1" applyBorder="1" applyAlignment="1">
      <alignment vertical="center"/>
    </xf>
    <xf numFmtId="165" fontId="21" fillId="2" borderId="22" xfId="0" applyNumberFormat="1" applyFont="1" applyFill="1" applyBorder="1" applyAlignment="1">
      <alignment vertical="center"/>
    </xf>
    <xf numFmtId="167" fontId="21" fillId="2" borderId="17" xfId="3" applyNumberFormat="1" applyFont="1" applyFill="1" applyBorder="1" applyAlignment="1">
      <alignment vertical="center"/>
    </xf>
    <xf numFmtId="165" fontId="21" fillId="2" borderId="21" xfId="3" applyNumberFormat="1" applyFont="1" applyFill="1" applyBorder="1" applyAlignment="1">
      <alignment vertical="center"/>
    </xf>
    <xf numFmtId="165" fontId="21" fillId="2" borderId="23" xfId="0" applyNumberFormat="1" applyFont="1" applyFill="1" applyBorder="1" applyAlignment="1">
      <alignment vertical="center"/>
    </xf>
    <xf numFmtId="165" fontId="21" fillId="2" borderId="23" xfId="0" applyNumberFormat="1" applyFont="1" applyFill="1" applyBorder="1" applyAlignment="1">
      <alignment horizontal="right" vertical="center"/>
    </xf>
    <xf numFmtId="0" fontId="21" fillId="2" borderId="6" xfId="0" applyFont="1" applyFill="1" applyBorder="1" applyAlignment="1">
      <alignment horizontal="center" vertical="center" wrapText="1"/>
    </xf>
    <xf numFmtId="165" fontId="21" fillId="2" borderId="16" xfId="0" applyNumberFormat="1" applyFont="1" applyFill="1" applyBorder="1" applyAlignment="1">
      <alignment vertical="center"/>
    </xf>
    <xf numFmtId="0" fontId="21" fillId="2" borderId="23" xfId="0" applyFont="1" applyFill="1" applyBorder="1" applyAlignment="1">
      <alignment horizontal="center"/>
    </xf>
    <xf numFmtId="0" fontId="1" fillId="0" borderId="11" xfId="0" applyFont="1" applyBorder="1" applyAlignment="1">
      <alignment horizontal="center"/>
    </xf>
    <xf numFmtId="165" fontId="4" fillId="0" borderId="22" xfId="0" applyNumberFormat="1" applyFont="1" applyBorder="1" applyAlignment="1">
      <alignment vertical="center"/>
    </xf>
    <xf numFmtId="0" fontId="1" fillId="0" borderId="12" xfId="0" applyFont="1" applyBorder="1" applyAlignment="1">
      <alignment horizontal="center"/>
    </xf>
    <xf numFmtId="0" fontId="1" fillId="0" borderId="24" xfId="0" applyFont="1" applyBorder="1"/>
    <xf numFmtId="0" fontId="21" fillId="2" borderId="16" xfId="0" applyFont="1" applyFill="1" applyBorder="1" applyAlignment="1">
      <alignment horizontal="center"/>
    </xf>
    <xf numFmtId="0" fontId="1" fillId="0" borderId="9" xfId="0" applyFont="1" applyBorder="1" applyAlignment="1">
      <alignment horizontal="center"/>
    </xf>
    <xf numFmtId="0" fontId="1" fillId="0" borderId="6" xfId="0" applyFont="1" applyBorder="1"/>
    <xf numFmtId="164" fontId="21" fillId="2" borderId="6" xfId="0" applyNumberFormat="1" applyFont="1" applyFill="1" applyBorder="1" applyAlignment="1">
      <alignment horizontal="center" vertical="center" wrapText="1"/>
    </xf>
    <xf numFmtId="164" fontId="21" fillId="2" borderId="23" xfId="0" applyNumberFormat="1" applyFont="1" applyFill="1" applyBorder="1" applyAlignment="1">
      <alignment horizontal="center" vertical="center" wrapText="1"/>
    </xf>
    <xf numFmtId="164" fontId="21" fillId="2" borderId="19" xfId="0" applyNumberFormat="1" applyFont="1" applyFill="1" applyBorder="1" applyAlignment="1">
      <alignment horizontal="center" vertical="center" wrapText="1"/>
    </xf>
    <xf numFmtId="44" fontId="21" fillId="2" borderId="7" xfId="0" applyNumberFormat="1" applyFont="1" applyFill="1" applyBorder="1" applyAlignment="1">
      <alignment horizontal="center" vertical="center" wrapText="1"/>
    </xf>
    <xf numFmtId="0" fontId="4" fillId="0" borderId="24" xfId="0" applyFont="1" applyBorder="1" applyAlignment="1">
      <alignment horizontal="center"/>
    </xf>
    <xf numFmtId="9" fontId="7" fillId="0" borderId="11" xfId="0" applyNumberFormat="1" applyFont="1" applyBorder="1" applyAlignment="1">
      <alignment horizontal="center"/>
    </xf>
    <xf numFmtId="0" fontId="4" fillId="0" borderId="12" xfId="0" applyFont="1" applyBorder="1" applyAlignment="1">
      <alignment horizontal="center"/>
    </xf>
    <xf numFmtId="0" fontId="4" fillId="0" borderId="32" xfId="0" applyFont="1" applyBorder="1" applyAlignment="1">
      <alignment horizontal="center"/>
    </xf>
    <xf numFmtId="0" fontId="1" fillId="0" borderId="10" xfId="0" applyFont="1" applyBorder="1" applyAlignment="1">
      <alignment horizontal="center"/>
    </xf>
    <xf numFmtId="176" fontId="6" fillId="0" borderId="11" xfId="0" applyNumberFormat="1" applyFont="1" applyBorder="1" applyAlignment="1">
      <alignment horizontal="center"/>
    </xf>
    <xf numFmtId="10" fontId="9" fillId="0" borderId="17" xfId="0" applyNumberFormat="1" applyFont="1" applyBorder="1" applyAlignment="1">
      <alignment horizontal="center"/>
    </xf>
    <xf numFmtId="9" fontId="6" fillId="0" borderId="5" xfId="0" applyNumberFormat="1" applyFont="1" applyBorder="1" applyAlignment="1">
      <alignment horizontal="center"/>
    </xf>
    <xf numFmtId="9" fontId="6" fillId="0" borderId="8" xfId="0" applyNumberFormat="1" applyFont="1" applyBorder="1" applyAlignment="1">
      <alignment horizontal="center"/>
    </xf>
    <xf numFmtId="0" fontId="22" fillId="0" borderId="0" xfId="0" applyFont="1" applyAlignment="1">
      <alignment horizontal="left" vertical="top" wrapText="1"/>
    </xf>
    <xf numFmtId="164" fontId="6" fillId="0" borderId="71" xfId="1" applyNumberFormat="1" applyFont="1" applyFill="1" applyBorder="1"/>
    <xf numFmtId="10" fontId="6" fillId="0" borderId="11" xfId="0" applyNumberFormat="1" applyFont="1" applyBorder="1" applyAlignment="1">
      <alignment horizontal="center"/>
    </xf>
    <xf numFmtId="164" fontId="6" fillId="0" borderId="62" xfId="1" applyNumberFormat="1" applyFont="1" applyFill="1" applyBorder="1"/>
    <xf numFmtId="164" fontId="6" fillId="0" borderId="12" xfId="1" applyNumberFormat="1" applyFont="1" applyFill="1" applyBorder="1"/>
    <xf numFmtId="0" fontId="6" fillId="0" borderId="4" xfId="0" applyFont="1" applyBorder="1" applyAlignment="1">
      <alignment horizontal="center"/>
    </xf>
    <xf numFmtId="164" fontId="6" fillId="0" borderId="9" xfId="1" applyNumberFormat="1" applyFont="1" applyFill="1" applyBorder="1"/>
    <xf numFmtId="164" fontId="6" fillId="0" borderId="10" xfId="1" applyNumberFormat="1" applyFont="1" applyFill="1" applyBorder="1"/>
    <xf numFmtId="10" fontId="6" fillId="0" borderId="15" xfId="0" applyNumberFormat="1" applyFont="1" applyBorder="1" applyAlignment="1">
      <alignment horizontal="center"/>
    </xf>
    <xf numFmtId="164" fontId="6" fillId="0" borderId="16" xfId="1" applyNumberFormat="1" applyFont="1" applyBorder="1"/>
    <xf numFmtId="164" fontId="6" fillId="0" borderId="17" xfId="1" applyNumberFormat="1" applyFont="1" applyBorder="1"/>
    <xf numFmtId="0" fontId="4" fillId="0" borderId="1" xfId="0" applyFont="1" applyBorder="1" applyAlignment="1">
      <alignment horizontal="left" indent="2"/>
    </xf>
    <xf numFmtId="0" fontId="4" fillId="0" borderId="2" xfId="0" applyFont="1" applyBorder="1"/>
    <xf numFmtId="0" fontId="4" fillId="0" borderId="31" xfId="0" applyFont="1" applyBorder="1"/>
    <xf numFmtId="172" fontId="4" fillId="0" borderId="32" xfId="0" applyNumberFormat="1" applyFont="1" applyBorder="1"/>
    <xf numFmtId="172" fontId="5" fillId="0" borderId="33" xfId="0" applyNumberFormat="1" applyFont="1" applyBorder="1"/>
    <xf numFmtId="0" fontId="0" fillId="0" borderId="0" xfId="0" applyAlignment="1">
      <alignment wrapText="1"/>
    </xf>
    <xf numFmtId="0" fontId="25" fillId="6" borderId="72" xfId="0" applyFont="1" applyFill="1" applyBorder="1" applyAlignment="1">
      <alignment horizontal="center" vertical="center" wrapText="1"/>
    </xf>
    <xf numFmtId="0" fontId="25" fillId="5" borderId="72" xfId="0" applyFont="1" applyFill="1" applyBorder="1" applyAlignment="1">
      <alignment horizontal="center" vertical="center" wrapText="1"/>
    </xf>
    <xf numFmtId="0" fontId="25" fillId="11" borderId="72" xfId="0" applyFont="1" applyFill="1" applyBorder="1" applyAlignment="1">
      <alignment horizontal="center" vertical="center" wrapText="1"/>
    </xf>
    <xf numFmtId="0" fontId="25" fillId="11" borderId="74" xfId="0" applyFont="1" applyFill="1" applyBorder="1" applyAlignment="1">
      <alignment horizontal="center" vertical="center" wrapText="1"/>
    </xf>
    <xf numFmtId="0" fontId="25" fillId="12" borderId="72" xfId="0" applyFont="1" applyFill="1" applyBorder="1" applyAlignment="1">
      <alignment horizontal="center" vertical="center" wrapText="1"/>
    </xf>
    <xf numFmtId="0" fontId="25" fillId="5" borderId="73" xfId="0" applyFont="1" applyFill="1" applyBorder="1" applyAlignment="1">
      <alignment horizontal="center" vertical="center" wrapText="1"/>
    </xf>
    <xf numFmtId="0" fontId="25" fillId="13" borderId="74" xfId="0" applyFont="1" applyFill="1" applyBorder="1" applyAlignment="1">
      <alignment horizontal="center" vertical="center" wrapText="1"/>
    </xf>
    <xf numFmtId="0" fontId="25" fillId="6" borderId="75" xfId="0" applyFont="1" applyFill="1" applyBorder="1" applyAlignment="1">
      <alignment horizontal="center" vertical="center" wrapText="1"/>
    </xf>
    <xf numFmtId="0" fontId="25" fillId="6" borderId="76" xfId="0" applyFont="1" applyFill="1" applyBorder="1" applyAlignment="1">
      <alignment horizontal="center" vertical="center" wrapText="1"/>
    </xf>
    <xf numFmtId="0" fontId="25" fillId="13" borderId="77" xfId="0" applyFont="1" applyFill="1" applyBorder="1" applyAlignment="1">
      <alignment horizontal="center" vertical="center" wrapText="1"/>
    </xf>
    <xf numFmtId="0" fontId="25" fillId="13" borderId="75" xfId="0" applyFont="1" applyFill="1" applyBorder="1" applyAlignment="1">
      <alignment horizontal="center" vertical="center" wrapText="1"/>
    </xf>
    <xf numFmtId="0" fontId="25" fillId="11" borderId="75" xfId="0" applyFont="1" applyFill="1" applyBorder="1" applyAlignment="1">
      <alignment horizontal="center" vertical="center" wrapText="1"/>
    </xf>
    <xf numFmtId="0" fontId="25" fillId="12" borderId="75" xfId="0" applyFont="1" applyFill="1" applyBorder="1" applyAlignment="1">
      <alignment horizontal="center" vertical="center" wrapText="1"/>
    </xf>
    <xf numFmtId="0" fontId="25" fillId="6" borderId="78" xfId="0" applyFont="1" applyFill="1" applyBorder="1" applyAlignment="1">
      <alignment horizontal="center" vertical="center" wrapText="1"/>
    </xf>
    <xf numFmtId="0" fontId="25" fillId="6" borderId="79" xfId="0" applyFont="1" applyFill="1" applyBorder="1" applyAlignment="1">
      <alignment horizontal="center" vertical="center" wrapText="1"/>
    </xf>
    <xf numFmtId="0" fontId="25" fillId="14" borderId="80" xfId="0" applyFont="1" applyFill="1" applyBorder="1" applyAlignment="1">
      <alignment horizontal="center" vertical="center" wrapText="1"/>
    </xf>
    <xf numFmtId="0" fontId="25" fillId="13" borderId="78" xfId="0" applyFont="1" applyFill="1" applyBorder="1" applyAlignment="1">
      <alignment horizontal="center" vertical="center" wrapText="1"/>
    </xf>
    <xf numFmtId="0" fontId="25" fillId="11" borderId="78" xfId="0" applyFont="1" applyFill="1" applyBorder="1" applyAlignment="1">
      <alignment horizontal="center" vertical="center" wrapText="1"/>
    </xf>
    <xf numFmtId="0" fontId="25" fillId="12" borderId="78" xfId="0" applyFont="1" applyFill="1" applyBorder="1" applyAlignment="1">
      <alignment horizontal="center" vertical="center" wrapText="1"/>
    </xf>
    <xf numFmtId="0" fontId="25" fillId="6" borderId="73" xfId="0" applyFont="1" applyFill="1" applyBorder="1" applyAlignment="1">
      <alignment horizontal="center" vertical="center" wrapText="1"/>
    </xf>
    <xf numFmtId="0" fontId="25" fillId="14" borderId="74" xfId="0" applyFont="1" applyFill="1" applyBorder="1" applyAlignment="1">
      <alignment horizontal="center" vertical="center" wrapText="1"/>
    </xf>
    <xf numFmtId="0" fontId="25" fillId="14" borderId="72" xfId="0" applyFont="1" applyFill="1" applyBorder="1" applyAlignment="1">
      <alignment horizontal="center" vertical="center" wrapText="1"/>
    </xf>
    <xf numFmtId="0" fontId="25" fillId="13" borderId="72" xfId="0" applyFont="1" applyFill="1" applyBorder="1" applyAlignment="1">
      <alignment horizontal="center" vertical="center" wrapText="1"/>
    </xf>
    <xf numFmtId="0" fontId="25" fillId="6" borderId="81" xfId="0" applyFont="1" applyFill="1" applyBorder="1" applyAlignment="1">
      <alignment horizontal="center" vertical="center" wrapText="1"/>
    </xf>
    <xf numFmtId="0" fontId="25" fillId="6" borderId="82" xfId="0" applyFont="1" applyFill="1" applyBorder="1" applyAlignment="1">
      <alignment horizontal="center" vertical="center" wrapText="1"/>
    </xf>
    <xf numFmtId="0" fontId="25" fillId="14" borderId="83" xfId="0" applyFont="1" applyFill="1" applyBorder="1" applyAlignment="1">
      <alignment horizontal="center" vertical="center" wrapText="1"/>
    </xf>
    <xf numFmtId="0" fontId="25" fillId="14" borderId="81" xfId="0" applyFont="1" applyFill="1" applyBorder="1" applyAlignment="1">
      <alignment horizontal="center" vertical="center" wrapText="1"/>
    </xf>
    <xf numFmtId="0" fontId="25" fillId="13" borderId="81" xfId="0" applyFont="1" applyFill="1" applyBorder="1" applyAlignment="1">
      <alignment horizontal="center" vertical="center" wrapText="1"/>
    </xf>
    <xf numFmtId="0" fontId="25" fillId="12" borderId="81" xfId="0" applyFont="1" applyFill="1" applyBorder="1" applyAlignment="1">
      <alignment horizontal="center" vertical="center" wrapText="1"/>
    </xf>
    <xf numFmtId="0" fontId="25" fillId="14" borderId="77" xfId="0" applyFont="1" applyFill="1" applyBorder="1" applyAlignment="1">
      <alignment horizontal="center" vertical="center" wrapText="1"/>
    </xf>
    <xf numFmtId="0" fontId="25" fillId="14" borderId="75" xfId="0" applyFont="1" applyFill="1" applyBorder="1" applyAlignment="1">
      <alignment horizontal="center" vertical="center" wrapText="1"/>
    </xf>
    <xf numFmtId="0" fontId="25" fillId="15" borderId="80" xfId="0" applyFont="1" applyFill="1" applyBorder="1" applyAlignment="1">
      <alignment horizontal="center" vertical="center" wrapText="1"/>
    </xf>
    <xf numFmtId="0" fontId="25" fillId="15" borderId="78" xfId="0" applyFont="1" applyFill="1" applyBorder="1" applyAlignment="1">
      <alignment horizontal="center" vertical="center" wrapText="1"/>
    </xf>
    <xf numFmtId="0" fontId="0" fillId="6" borderId="72" xfId="0" applyFill="1" applyBorder="1" applyAlignment="1">
      <alignment horizontal="center" vertical="center" wrapText="1"/>
    </xf>
    <xf numFmtId="0" fontId="0" fillId="14" borderId="72" xfId="0" applyFill="1" applyBorder="1" applyAlignment="1">
      <alignment horizontal="center" vertical="center" wrapText="1"/>
    </xf>
    <xf numFmtId="0" fontId="0" fillId="5" borderId="72" xfId="0" applyFill="1" applyBorder="1" applyAlignment="1">
      <alignment horizontal="center" vertical="center" wrapText="1"/>
    </xf>
    <xf numFmtId="0" fontId="0" fillId="13" borderId="72" xfId="0" applyFill="1" applyBorder="1" applyAlignment="1">
      <alignment horizontal="center" vertical="center" wrapText="1"/>
    </xf>
    <xf numFmtId="0" fontId="0" fillId="11" borderId="72" xfId="0" applyFill="1" applyBorder="1" applyAlignment="1">
      <alignment horizontal="center" vertical="center" wrapText="1"/>
    </xf>
    <xf numFmtId="0" fontId="0" fillId="12" borderId="72" xfId="0" applyFill="1" applyBorder="1" applyAlignment="1">
      <alignment horizontal="center" vertical="center" wrapText="1"/>
    </xf>
    <xf numFmtId="0" fontId="0" fillId="15" borderId="72" xfId="0" applyFill="1" applyBorder="1" applyAlignment="1">
      <alignment horizontal="center" vertical="center" wrapText="1"/>
    </xf>
    <xf numFmtId="0" fontId="1" fillId="0" borderId="11" xfId="0" applyFont="1" applyBorder="1" applyAlignment="1">
      <alignment horizontal="left" vertical="center" indent="1"/>
    </xf>
    <xf numFmtId="0" fontId="1" fillId="0" borderId="0" xfId="0" applyFont="1" applyAlignment="1">
      <alignment horizontal="left" vertical="center" indent="1"/>
    </xf>
    <xf numFmtId="0" fontId="7" fillId="5" borderId="30" xfId="0" applyFont="1" applyFill="1" applyBorder="1" applyAlignment="1">
      <alignment horizontal="center" vertical="center"/>
    </xf>
    <xf numFmtId="0" fontId="1" fillId="0" borderId="84" xfId="0" applyFont="1" applyBorder="1" applyAlignment="1">
      <alignment horizontal="left" vertical="center" indent="1"/>
    </xf>
    <xf numFmtId="0" fontId="1" fillId="0" borderId="85" xfId="0" applyFont="1" applyBorder="1" applyAlignment="1">
      <alignment vertical="center"/>
    </xf>
    <xf numFmtId="0" fontId="7" fillId="5" borderId="90" xfId="0" applyFont="1" applyFill="1" applyBorder="1" applyAlignment="1">
      <alignment horizontal="center" vertical="center"/>
    </xf>
    <xf numFmtId="0" fontId="1" fillId="0" borderId="86" xfId="0" applyFont="1" applyBorder="1" applyAlignment="1">
      <alignment horizontal="left" vertical="center" indent="1"/>
    </xf>
    <xf numFmtId="9" fontId="7" fillId="5" borderId="91" xfId="2" applyFont="1" applyFill="1" applyBorder="1" applyAlignment="1">
      <alignment horizontal="center" vertical="center"/>
    </xf>
    <xf numFmtId="0" fontId="7" fillId="5" borderId="91" xfId="0" applyFont="1" applyFill="1" applyBorder="1" applyAlignment="1">
      <alignment horizontal="center" vertical="center"/>
    </xf>
    <xf numFmtId="0" fontId="1" fillId="0" borderId="87" xfId="0" applyFont="1" applyBorder="1" applyAlignment="1">
      <alignment horizontal="left" vertical="center" indent="1"/>
    </xf>
    <xf numFmtId="0" fontId="1" fillId="0" borderId="88" xfId="0" applyFont="1" applyBorder="1" applyAlignment="1">
      <alignment vertical="center"/>
    </xf>
    <xf numFmtId="10" fontId="6" fillId="0" borderId="92" xfId="0" applyNumberFormat="1" applyFont="1" applyBorder="1" applyAlignment="1">
      <alignment horizontal="center" vertical="center" wrapText="1"/>
    </xf>
    <xf numFmtId="0" fontId="4" fillId="2" borderId="22" xfId="0" applyFont="1" applyFill="1" applyBorder="1" applyAlignment="1">
      <alignment vertical="center"/>
    </xf>
    <xf numFmtId="0" fontId="1" fillId="2" borderId="23" xfId="0" applyFont="1" applyFill="1" applyBorder="1" applyAlignment="1">
      <alignment vertical="center"/>
    </xf>
    <xf numFmtId="0" fontId="6" fillId="0" borderId="93" xfId="0" applyFont="1" applyBorder="1" applyAlignment="1">
      <alignment horizontal="center" vertical="center" wrapText="1"/>
    </xf>
    <xf numFmtId="0" fontId="1" fillId="2" borderId="94" xfId="0" applyFont="1" applyFill="1" applyBorder="1" applyAlignment="1">
      <alignment vertical="center"/>
    </xf>
    <xf numFmtId="9" fontId="7" fillId="5" borderId="27" xfId="2" applyFont="1" applyFill="1" applyBorder="1" applyAlignment="1">
      <alignment horizontal="center" vertical="center"/>
    </xf>
    <xf numFmtId="0" fontId="0" fillId="16" borderId="0" xfId="0" applyFill="1" applyAlignment="1">
      <alignment wrapText="1"/>
    </xf>
    <xf numFmtId="0" fontId="23" fillId="16" borderId="0" xfId="0" applyFont="1" applyFill="1" applyAlignment="1">
      <alignment wrapText="1"/>
    </xf>
    <xf numFmtId="0" fontId="24" fillId="0" borderId="72" xfId="0" applyFont="1" applyBorder="1" applyAlignment="1">
      <alignment horizontal="center" vertical="center" wrapText="1"/>
    </xf>
    <xf numFmtId="9" fontId="24" fillId="0" borderId="72" xfId="0" applyNumberFormat="1" applyFont="1" applyBorder="1" applyAlignment="1">
      <alignment horizontal="center" vertical="center" wrapText="1"/>
    </xf>
    <xf numFmtId="9" fontId="24" fillId="0" borderId="73" xfId="0" applyNumberFormat="1" applyFont="1" applyBorder="1" applyAlignment="1">
      <alignment horizontal="center" vertical="center" wrapText="1"/>
    </xf>
    <xf numFmtId="9" fontId="24" fillId="0" borderId="74" xfId="0" applyNumberFormat="1" applyFont="1" applyBorder="1" applyAlignment="1">
      <alignment horizontal="center" vertical="center" wrapText="1"/>
    </xf>
    <xf numFmtId="0" fontId="0" fillId="0" borderId="72" xfId="0" applyBorder="1" applyAlignment="1">
      <alignment vertical="top" wrapText="1"/>
    </xf>
    <xf numFmtId="9" fontId="24" fillId="0" borderId="75" xfId="0" applyNumberFormat="1" applyFont="1" applyBorder="1" applyAlignment="1">
      <alignment horizontal="center" vertical="center" wrapText="1"/>
    </xf>
    <xf numFmtId="9" fontId="24" fillId="0" borderId="78" xfId="0" applyNumberFormat="1" applyFont="1" applyBorder="1" applyAlignment="1">
      <alignment horizontal="center" vertical="center" wrapText="1"/>
    </xf>
    <xf numFmtId="9" fontId="24" fillId="0" borderId="81" xfId="0" applyNumberFormat="1" applyFont="1" applyBorder="1" applyAlignment="1">
      <alignment horizontal="center" vertical="center" wrapText="1"/>
    </xf>
    <xf numFmtId="0" fontId="4" fillId="0" borderId="22" xfId="0" applyFont="1" applyBorder="1" applyAlignment="1">
      <alignment horizontal="left" vertical="center"/>
    </xf>
    <xf numFmtId="0" fontId="4" fillId="0" borderId="11" xfId="0" applyFont="1" applyBorder="1" applyAlignment="1">
      <alignment horizontal="left" vertical="center" indent="2"/>
    </xf>
    <xf numFmtId="0" fontId="4" fillId="0" borderId="27" xfId="0" applyFont="1" applyBorder="1" applyAlignment="1">
      <alignment horizontal="left" vertical="center" indent="2"/>
    </xf>
    <xf numFmtId="164" fontId="7" fillId="5" borderId="95" xfId="0" applyNumberFormat="1" applyFont="1" applyFill="1" applyBorder="1" applyAlignment="1">
      <alignment vertical="center"/>
    </xf>
    <xf numFmtId="164" fontId="7" fillId="5" borderId="96" xfId="0" applyNumberFormat="1" applyFont="1" applyFill="1" applyBorder="1" applyAlignment="1">
      <alignment vertical="center"/>
    </xf>
    <xf numFmtId="0" fontId="1" fillId="0" borderId="12" xfId="0" applyFont="1" applyBorder="1" applyAlignment="1">
      <alignment horizontal="left"/>
    </xf>
    <xf numFmtId="0" fontId="21" fillId="2" borderId="24" xfId="0" applyFont="1" applyFill="1" applyBorder="1" applyAlignment="1">
      <alignment horizontal="left" vertical="center" wrapText="1"/>
    </xf>
    <xf numFmtId="0" fontId="21" fillId="2" borderId="14" xfId="0" applyFont="1" applyFill="1" applyBorder="1" applyAlignment="1">
      <alignment horizontal="left"/>
    </xf>
    <xf numFmtId="0" fontId="21" fillId="2" borderId="6" xfId="0" applyFont="1" applyFill="1" applyBorder="1" applyAlignment="1">
      <alignment horizontal="center"/>
    </xf>
    <xf numFmtId="10" fontId="6" fillId="0" borderId="9" xfId="0" applyNumberFormat="1" applyFont="1" applyBorder="1" applyAlignment="1">
      <alignment horizontal="center" vertical="center"/>
    </xf>
    <xf numFmtId="1" fontId="7" fillId="0" borderId="9" xfId="0" applyNumberFormat="1" applyFont="1" applyBorder="1" applyAlignment="1">
      <alignment horizontal="center" vertical="center"/>
    </xf>
    <xf numFmtId="0" fontId="1" fillId="0" borderId="16" xfId="0" applyFont="1" applyBorder="1" applyAlignment="1">
      <alignment horizontal="center"/>
    </xf>
    <xf numFmtId="0" fontId="32" fillId="0" borderId="97" xfId="0" applyFont="1" applyBorder="1" applyAlignment="1">
      <alignment vertical="top" wrapText="1"/>
    </xf>
    <xf numFmtId="0" fontId="32" fillId="16" borderId="97" xfId="0" applyFont="1" applyFill="1" applyBorder="1" applyAlignment="1">
      <alignment vertical="top" wrapText="1"/>
    </xf>
    <xf numFmtId="0" fontId="23" fillId="16" borderId="0" xfId="0" applyFont="1" applyFill="1" applyAlignment="1">
      <alignment horizontal="center" wrapText="1"/>
    </xf>
    <xf numFmtId="0" fontId="0" fillId="16" borderId="4" xfId="0" applyFill="1" applyBorder="1" applyAlignment="1">
      <alignment horizontal="center" vertical="center" wrapText="1"/>
    </xf>
    <xf numFmtId="0" fontId="38" fillId="0" borderId="72" xfId="0" applyFont="1" applyBorder="1" applyAlignment="1">
      <alignment vertical="top" wrapText="1"/>
    </xf>
    <xf numFmtId="0" fontId="38" fillId="16" borderId="72" xfId="0" applyFont="1" applyFill="1" applyBorder="1" applyAlignment="1">
      <alignment vertical="top" wrapText="1"/>
    </xf>
    <xf numFmtId="0" fontId="1" fillId="0" borderId="98" xfId="0" applyFont="1" applyBorder="1" applyAlignment="1">
      <alignment horizontal="center"/>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4" xfId="0" applyFont="1" applyBorder="1" applyAlignment="1">
      <alignment horizontal="center" vertical="center"/>
    </xf>
    <xf numFmtId="0" fontId="4" fillId="0" borderId="1" xfId="0" applyFont="1" applyBorder="1" applyAlignment="1">
      <alignment horizontal="center"/>
    </xf>
    <xf numFmtId="0" fontId="4" fillId="0" borderId="3" xfId="0" applyFont="1" applyBorder="1" applyAlignment="1">
      <alignment horizontal="center"/>
    </xf>
    <xf numFmtId="165" fontId="6" fillId="0" borderId="29" xfId="0" applyNumberFormat="1" applyFont="1" applyBorder="1"/>
    <xf numFmtId="165" fontId="6" fillId="0" borderId="30" xfId="0" applyNumberFormat="1" applyFont="1" applyBorder="1"/>
    <xf numFmtId="165" fontId="6" fillId="0" borderId="26" xfId="0" applyNumberFormat="1" applyFont="1" applyBorder="1"/>
    <xf numFmtId="165" fontId="6" fillId="0" borderId="27" xfId="0" applyNumberFormat="1" applyFont="1" applyBorder="1"/>
    <xf numFmtId="0" fontId="9" fillId="0" borderId="99" xfId="0" applyFont="1" applyBorder="1" applyAlignment="1">
      <alignment horizontal="center"/>
    </xf>
    <xf numFmtId="0" fontId="4" fillId="3" borderId="100" xfId="0" applyFont="1" applyFill="1" applyBorder="1" applyAlignment="1">
      <alignment horizontal="center"/>
    </xf>
    <xf numFmtId="0" fontId="4" fillId="0" borderId="100" xfId="0" applyFont="1" applyBorder="1" applyAlignment="1">
      <alignment horizont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27" fillId="6" borderId="84" xfId="0" applyFont="1" applyFill="1" applyBorder="1" applyAlignment="1">
      <alignment horizontal="left" vertical="top" wrapText="1"/>
    </xf>
    <xf numFmtId="0" fontId="27" fillId="6" borderId="85" xfId="0" applyFont="1" applyFill="1" applyBorder="1" applyAlignment="1">
      <alignment horizontal="left" vertical="top" wrapText="1"/>
    </xf>
    <xf numFmtId="0" fontId="27" fillId="6" borderId="83" xfId="0" applyFont="1" applyFill="1" applyBorder="1" applyAlignment="1">
      <alignment horizontal="left" vertical="top" wrapText="1"/>
    </xf>
    <xf numFmtId="0" fontId="27" fillId="6" borderId="86" xfId="0" applyFont="1" applyFill="1" applyBorder="1" applyAlignment="1">
      <alignment horizontal="left" vertical="top" wrapText="1"/>
    </xf>
    <xf numFmtId="0" fontId="27" fillId="6" borderId="0" xfId="0" applyFont="1" applyFill="1" applyAlignment="1">
      <alignment horizontal="left" vertical="top" wrapText="1"/>
    </xf>
    <xf numFmtId="0" fontId="27" fillId="6" borderId="61" xfId="0" applyFont="1" applyFill="1" applyBorder="1" applyAlignment="1">
      <alignment horizontal="left" vertical="top" wrapText="1"/>
    </xf>
    <xf numFmtId="0" fontId="27" fillId="6" borderId="87" xfId="0" applyFont="1" applyFill="1" applyBorder="1" applyAlignment="1">
      <alignment horizontal="left" vertical="top" wrapText="1"/>
    </xf>
    <xf numFmtId="0" fontId="27" fillId="6" borderId="88" xfId="0" applyFont="1" applyFill="1" applyBorder="1" applyAlignment="1">
      <alignment horizontal="left" vertical="top" wrapText="1"/>
    </xf>
    <xf numFmtId="0" fontId="27" fillId="6" borderId="80" xfId="0" applyFont="1" applyFill="1" applyBorder="1" applyAlignment="1">
      <alignment horizontal="left" vertical="top"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xf numFmtId="0" fontId="4" fillId="0" borderId="3" xfId="0" applyFont="1" applyBorder="1"/>
    <xf numFmtId="0" fontId="4" fillId="0" borderId="89" xfId="0" applyFont="1" applyBorder="1" applyAlignment="1">
      <alignment horizontal="center" vertical="center" wrapText="1"/>
    </xf>
    <xf numFmtId="0" fontId="21" fillId="2" borderId="63" xfId="0" applyFont="1" applyFill="1" applyBorder="1" applyAlignment="1">
      <alignment horizontal="center" vertical="center"/>
    </xf>
    <xf numFmtId="0" fontId="21" fillId="2" borderId="64"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7" fillId="5" borderId="30" xfId="0" applyFont="1" applyFill="1" applyBorder="1" applyAlignment="1">
      <alignment horizontal="center" vertical="center" indent="1"/>
    </xf>
    <xf numFmtId="0" fontId="7" fillId="5" borderId="27" xfId="0" applyFont="1" applyFill="1" applyBorder="1" applyAlignment="1">
      <alignment horizontal="center" vertical="center" inden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8" borderId="2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20" xfId="0" applyFont="1" applyFill="1" applyBorder="1" applyAlignment="1">
      <alignment horizontal="center" vertical="center" wrapText="1"/>
    </xf>
    <xf numFmtId="0" fontId="22" fillId="6" borderId="84" xfId="0" applyFont="1" applyFill="1" applyBorder="1" applyAlignment="1">
      <alignment horizontal="left" vertical="top" wrapText="1"/>
    </xf>
    <xf numFmtId="0" fontId="22" fillId="6" borderId="85" xfId="0" applyFont="1" applyFill="1" applyBorder="1" applyAlignment="1">
      <alignment horizontal="left" vertical="top" wrapText="1"/>
    </xf>
    <xf numFmtId="0" fontId="22" fillId="6" borderId="83" xfId="0" applyFont="1" applyFill="1" applyBorder="1" applyAlignment="1">
      <alignment horizontal="left" vertical="top" wrapText="1"/>
    </xf>
    <xf numFmtId="0" fontId="22" fillId="6" borderId="86" xfId="0" applyFont="1" applyFill="1" applyBorder="1" applyAlignment="1">
      <alignment horizontal="left" vertical="top" wrapText="1"/>
    </xf>
    <xf numFmtId="0" fontId="22" fillId="6" borderId="0" xfId="0" applyFont="1" applyFill="1" applyAlignment="1">
      <alignment horizontal="left" vertical="top" wrapText="1"/>
    </xf>
    <xf numFmtId="0" fontId="22" fillId="6" borderId="61" xfId="0" applyFont="1" applyFill="1" applyBorder="1" applyAlignment="1">
      <alignment horizontal="left" vertical="top" wrapText="1"/>
    </xf>
    <xf numFmtId="0" fontId="22" fillId="6" borderId="87" xfId="0" applyFont="1" applyFill="1" applyBorder="1" applyAlignment="1">
      <alignment horizontal="left" vertical="top" wrapText="1"/>
    </xf>
    <xf numFmtId="0" fontId="22" fillId="6" borderId="88" xfId="0" applyFont="1" applyFill="1" applyBorder="1" applyAlignment="1">
      <alignment horizontal="left" vertical="top" wrapText="1"/>
    </xf>
    <xf numFmtId="0" fontId="22" fillId="6" borderId="80" xfId="0" applyFont="1" applyFill="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22" fillId="6" borderId="22" xfId="0" applyFont="1" applyFill="1" applyBorder="1" applyAlignment="1">
      <alignment vertical="top" wrapText="1"/>
    </xf>
    <xf numFmtId="0" fontId="1" fillId="6" borderId="23" xfId="0" applyFont="1" applyFill="1" applyBorder="1" applyAlignment="1">
      <alignment vertical="top" wrapText="1"/>
    </xf>
    <xf numFmtId="0" fontId="1" fillId="6" borderId="24" xfId="0" applyFont="1" applyFill="1" applyBorder="1" applyAlignment="1">
      <alignment vertical="top" wrapText="1"/>
    </xf>
    <xf numFmtId="0" fontId="1" fillId="6" borderId="11" xfId="0" applyFont="1" applyFill="1" applyBorder="1" applyAlignment="1">
      <alignment vertical="top" wrapText="1"/>
    </xf>
    <xf numFmtId="0" fontId="1" fillId="6" borderId="0" xfId="0" applyFont="1" applyFill="1" applyAlignment="1">
      <alignment vertical="top" wrapText="1"/>
    </xf>
    <xf numFmtId="0" fontId="1" fillId="6" borderId="12" xfId="0" applyFont="1" applyFill="1" applyBorder="1" applyAlignment="1">
      <alignment vertical="top" wrapText="1"/>
    </xf>
    <xf numFmtId="0" fontId="1" fillId="6" borderId="13" xfId="0" applyFont="1" applyFill="1" applyBorder="1" applyAlignment="1">
      <alignment vertical="top" wrapText="1"/>
    </xf>
    <xf numFmtId="0" fontId="1" fillId="6" borderId="25" xfId="0" applyFont="1" applyFill="1" applyBorder="1" applyAlignment="1">
      <alignment vertical="top" wrapText="1"/>
    </xf>
    <xf numFmtId="0" fontId="1" fillId="6" borderId="14" xfId="0" applyFont="1" applyFill="1" applyBorder="1" applyAlignment="1">
      <alignment vertical="top"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25" xfId="0" applyFont="1" applyBorder="1" applyAlignment="1">
      <alignment horizontal="center" vertical="center" wrapText="1"/>
    </xf>
    <xf numFmtId="0" fontId="7" fillId="5" borderId="29" xfId="0" applyFont="1" applyFill="1" applyBorder="1" applyAlignment="1">
      <alignment horizontal="right" vertical="top" wrapText="1"/>
    </xf>
    <xf numFmtId="0" fontId="7" fillId="5" borderId="24" xfId="0" applyFont="1" applyFill="1" applyBorder="1" applyAlignment="1">
      <alignment horizontal="right" vertical="top" wrapText="1"/>
    </xf>
    <xf numFmtId="0" fontId="7" fillId="5" borderId="30" xfId="0" applyFont="1" applyFill="1" applyBorder="1" applyAlignment="1">
      <alignment horizontal="right" vertical="top" wrapText="1"/>
    </xf>
    <xf numFmtId="0" fontId="7" fillId="5" borderId="12" xfId="0" applyFont="1" applyFill="1" applyBorder="1" applyAlignment="1">
      <alignment horizontal="right" vertical="top" wrapText="1"/>
    </xf>
    <xf numFmtId="0" fontId="7" fillId="5" borderId="36" xfId="0" quotePrefix="1" applyFont="1" applyFill="1" applyBorder="1" applyAlignment="1">
      <alignment horizontal="right" vertical="top" wrapText="1"/>
    </xf>
    <xf numFmtId="0" fontId="7" fillId="5" borderId="40" xfId="0" quotePrefix="1" applyFont="1" applyFill="1" applyBorder="1" applyAlignment="1">
      <alignment horizontal="right" vertical="top" wrapText="1"/>
    </xf>
    <xf numFmtId="0" fontId="7" fillId="5" borderId="38" xfId="0" quotePrefix="1" applyFont="1" applyFill="1" applyBorder="1" applyAlignment="1">
      <alignment horizontal="right" vertical="top" wrapText="1"/>
    </xf>
    <xf numFmtId="0" fontId="7" fillId="5" borderId="41" xfId="0" quotePrefix="1" applyFont="1" applyFill="1" applyBorder="1" applyAlignment="1">
      <alignment horizontal="right" vertical="top" wrapText="1"/>
    </xf>
    <xf numFmtId="0" fontId="7" fillId="5" borderId="86" xfId="0" applyFont="1" applyFill="1" applyBorder="1" applyAlignment="1">
      <alignment horizontal="left" vertical="center"/>
    </xf>
    <xf numFmtId="0" fontId="7" fillId="5" borderId="0" xfId="0" applyFont="1" applyFill="1" applyAlignment="1">
      <alignment horizontal="left" vertical="center"/>
    </xf>
    <xf numFmtId="0" fontId="7" fillId="5" borderId="87" xfId="0" applyFont="1" applyFill="1" applyBorder="1" applyAlignment="1">
      <alignment horizontal="left" vertical="center"/>
    </xf>
    <xf numFmtId="0" fontId="7" fillId="5" borderId="88" xfId="0" applyFont="1" applyFill="1" applyBorder="1" applyAlignment="1">
      <alignment horizontal="left" vertical="center"/>
    </xf>
    <xf numFmtId="0" fontId="22" fillId="6" borderId="53" xfId="0" applyFont="1" applyFill="1" applyBorder="1" applyAlignment="1">
      <alignment horizontal="left" vertical="top" wrapText="1"/>
    </xf>
    <xf numFmtId="0" fontId="22" fillId="6" borderId="54" xfId="0" applyFont="1" applyFill="1" applyBorder="1" applyAlignment="1">
      <alignment horizontal="left" vertical="top" wrapText="1"/>
    </xf>
    <xf numFmtId="0" fontId="22" fillId="6" borderId="55" xfId="0" applyFont="1" applyFill="1" applyBorder="1" applyAlignment="1">
      <alignment horizontal="left" vertical="top" wrapText="1"/>
    </xf>
    <xf numFmtId="0" fontId="22" fillId="6" borderId="56" xfId="0" applyFont="1" applyFill="1" applyBorder="1" applyAlignment="1">
      <alignment horizontal="left" vertical="top" wrapText="1"/>
    </xf>
    <xf numFmtId="0" fontId="22" fillId="6" borderId="57" xfId="0" applyFont="1" applyFill="1" applyBorder="1" applyAlignment="1">
      <alignment horizontal="left" vertical="top" wrapText="1"/>
    </xf>
    <xf numFmtId="0" fontId="22" fillId="6" borderId="58" xfId="0" applyFont="1" applyFill="1" applyBorder="1" applyAlignment="1">
      <alignment horizontal="left" vertical="top" wrapText="1"/>
    </xf>
    <xf numFmtId="0" fontId="22" fillId="6" borderId="59" xfId="0" applyFont="1" applyFill="1" applyBorder="1" applyAlignment="1">
      <alignment horizontal="left" vertical="top" wrapText="1"/>
    </xf>
    <xf numFmtId="0" fontId="22" fillId="6" borderId="60" xfId="0" applyFont="1" applyFill="1" applyBorder="1" applyAlignment="1">
      <alignment horizontal="left" vertical="top" wrapText="1"/>
    </xf>
    <xf numFmtId="0" fontId="7" fillId="5" borderId="84" xfId="0" applyFont="1" applyFill="1" applyBorder="1" applyAlignment="1">
      <alignment horizontal="left" vertical="center"/>
    </xf>
    <xf numFmtId="0" fontId="7" fillId="5" borderId="85" xfId="0" applyFont="1" applyFill="1" applyBorder="1" applyAlignment="1">
      <alignment horizontal="left" vertical="center"/>
    </xf>
    <xf numFmtId="0" fontId="2" fillId="16" borderId="88" xfId="0" applyFont="1" applyFill="1" applyBorder="1" applyAlignment="1">
      <alignment horizontal="center" vertical="center" wrapText="1"/>
    </xf>
    <xf numFmtId="0" fontId="2" fillId="0" borderId="0" xfId="0" applyFont="1" applyAlignment="1">
      <alignment horizontal="center" vertical="center" textRotation="90" wrapText="1"/>
    </xf>
    <xf numFmtId="0" fontId="34" fillId="16" borderId="0" xfId="0" applyFont="1" applyFill="1" applyAlignment="1">
      <alignment horizontal="center" wrapText="1"/>
    </xf>
    <xf numFmtId="0" fontId="36" fillId="6" borderId="84" xfId="0" applyFont="1" applyFill="1" applyBorder="1" applyAlignment="1">
      <alignment horizontal="left" vertical="center" wrapText="1"/>
    </xf>
    <xf numFmtId="0" fontId="36" fillId="6" borderId="85" xfId="0" applyFont="1" applyFill="1" applyBorder="1" applyAlignment="1">
      <alignment horizontal="left" vertical="center" wrapText="1"/>
    </xf>
    <xf numFmtId="0" fontId="36" fillId="6" borderId="83" xfId="0" applyFont="1" applyFill="1" applyBorder="1" applyAlignment="1">
      <alignment horizontal="left" vertical="center" wrapText="1"/>
    </xf>
    <xf numFmtId="0" fontId="36" fillId="6" borderId="87" xfId="0" applyFont="1" applyFill="1" applyBorder="1" applyAlignment="1">
      <alignment horizontal="left" vertical="center" wrapText="1"/>
    </xf>
    <xf numFmtId="0" fontId="36" fillId="6" borderId="88" xfId="0" applyFont="1" applyFill="1" applyBorder="1" applyAlignment="1">
      <alignment horizontal="left" vertical="center" wrapText="1"/>
    </xf>
    <xf numFmtId="0" fontId="36" fillId="6" borderId="80" xfId="0" applyFont="1" applyFill="1" applyBorder="1" applyAlignment="1">
      <alignment horizontal="lef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7">
    <dxf>
      <font>
        <color rgb="FFC00000"/>
      </font>
      <fill>
        <patternFill>
          <bgColor rgb="FFFFCCCC"/>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C00000"/>
      </font>
      <fill>
        <patternFill>
          <bgColor rgb="FFFFCCCC"/>
        </patternFill>
      </fill>
    </dxf>
  </dxfs>
  <tableStyles count="0" defaultTableStyle="TableStyleMedium2" defaultPivotStyle="PivotStyleLight16"/>
  <colors>
    <mruColors>
      <color rgb="FF0000FF"/>
      <color rgb="FF0099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ichele Oberholtzer" id="{132A1B9D-312C-4667-BEFA-3101D773A250}" userId="S::michele.oberholtzer@detroitmi.gov::97098acf-421b-4a66-9776-38181f8afb3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D13" dT="2025-05-05T17:48:38.89" personId="{132A1B9D-312C-4667-BEFA-3101D773A250}" id="{7090AA4C-D5EF-4F02-9FE7-07B69351293F}">
    <text>Enter as a negative value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A9B8-FFB7-4CEC-A2B6-B874360BABB5}">
  <dimension ref="B1:AA76"/>
  <sheetViews>
    <sheetView showGridLines="0" tabSelected="1" zoomScaleNormal="100" workbookViewId="0">
      <selection activeCell="D12" sqref="D12"/>
    </sheetView>
  </sheetViews>
  <sheetFormatPr defaultColWidth="15.6640625" defaultRowHeight="13.8" x14ac:dyDescent="0.3"/>
  <cols>
    <col min="1" max="1" width="2.6640625" style="1" customWidth="1"/>
    <col min="2" max="2" width="15.6640625" style="1"/>
    <col min="3" max="3" width="20.6640625" style="1" customWidth="1"/>
    <col min="4" max="4" width="38.109375" style="1" customWidth="1"/>
    <col min="5" max="6" width="15.6640625" style="1"/>
    <col min="7" max="7" width="21.109375" style="1" customWidth="1"/>
    <col min="8" max="11" width="15.6640625" style="1"/>
    <col min="12" max="12" width="17" style="1" bestFit="1" customWidth="1"/>
    <col min="13" max="16384" width="15.6640625" style="1"/>
  </cols>
  <sheetData>
    <row r="1" spans="2:9" s="4" customFormat="1" ht="15.6" x14ac:dyDescent="0.3">
      <c r="B1" s="4" t="s">
        <v>0</v>
      </c>
    </row>
    <row r="2" spans="2:9" s="5" customFormat="1" ht="15" customHeight="1" x14ac:dyDescent="0.3">
      <c r="B2" s="5" t="s">
        <v>1</v>
      </c>
    </row>
    <row r="3" spans="2:9" s="5" customFormat="1" ht="15" customHeight="1" x14ac:dyDescent="0.3"/>
    <row r="4" spans="2:9" s="5" customFormat="1" ht="15" customHeight="1" x14ac:dyDescent="0.3">
      <c r="B4" s="562" t="s">
        <v>2</v>
      </c>
      <c r="C4" s="563"/>
      <c r="D4" s="563"/>
      <c r="E4" s="563"/>
      <c r="F4" s="563"/>
      <c r="G4" s="563"/>
      <c r="H4" s="564"/>
    </row>
    <row r="5" spans="2:9" s="5" customFormat="1" ht="15" customHeight="1" x14ac:dyDescent="0.3">
      <c r="B5" s="565"/>
      <c r="C5" s="566"/>
      <c r="D5" s="566"/>
      <c r="E5" s="566"/>
      <c r="F5" s="566"/>
      <c r="G5" s="566"/>
      <c r="H5" s="567"/>
    </row>
    <row r="6" spans="2:9" s="5" customFormat="1" ht="15" customHeight="1" x14ac:dyDescent="0.3">
      <c r="B6" s="568"/>
      <c r="C6" s="569"/>
      <c r="D6" s="569"/>
      <c r="E6" s="569"/>
      <c r="F6" s="569"/>
      <c r="G6" s="569"/>
      <c r="H6" s="570"/>
    </row>
    <row r="7" spans="2:9" s="5" customFormat="1" ht="15" customHeight="1" x14ac:dyDescent="0.3">
      <c r="B7" s="60"/>
    </row>
    <row r="8" spans="2:9" s="5" customFormat="1" ht="15" customHeight="1" x14ac:dyDescent="0.3">
      <c r="B8" s="61" t="s">
        <v>3</v>
      </c>
      <c r="C8" s="189" t="s">
        <v>4</v>
      </c>
      <c r="D8" s="62" t="s">
        <v>5</v>
      </c>
      <c r="E8" s="63" t="s">
        <v>6</v>
      </c>
    </row>
    <row r="11" spans="2:9" x14ac:dyDescent="0.3">
      <c r="B11" s="504" t="s">
        <v>7</v>
      </c>
      <c r="C11" s="505"/>
      <c r="D11" s="507"/>
      <c r="E11" s="5"/>
      <c r="G11" s="559" t="s">
        <v>8</v>
      </c>
      <c r="H11" s="560"/>
      <c r="I11" s="561"/>
    </row>
    <row r="12" spans="2:9" ht="12.75" customHeight="1" x14ac:dyDescent="0.3">
      <c r="B12" s="495" t="s">
        <v>9</v>
      </c>
      <c r="C12" s="496"/>
      <c r="D12" s="497"/>
      <c r="E12" s="5"/>
      <c r="G12" s="556" t="s">
        <v>10</v>
      </c>
      <c r="H12" s="556" t="s">
        <v>11</v>
      </c>
      <c r="I12" s="556" t="s">
        <v>12</v>
      </c>
    </row>
    <row r="13" spans="2:9" x14ac:dyDescent="0.3">
      <c r="B13" s="498" t="s">
        <v>13</v>
      </c>
      <c r="C13" s="5"/>
      <c r="D13" s="499"/>
      <c r="E13" s="353" t="str">
        <f ca="1">IFERROR(AND('Unit Summary - Rent Roll'!$K$327&lt;=INDEX(List!$AE:$AE,MATCH($D13,List!$AC:$AC,0)),'Unit Summary - Rent Roll'!$K$327&gt;=INDEX(List!$AD:$AD,MATCH($D13,List!$AC:$AC,0))),"NA")</f>
        <v>NA</v>
      </c>
      <c r="G13" s="557"/>
      <c r="H13" s="557"/>
      <c r="I13" s="557"/>
    </row>
    <row r="14" spans="2:9" x14ac:dyDescent="0.3">
      <c r="B14" s="498" t="s">
        <v>14</v>
      </c>
      <c r="C14" s="493"/>
      <c r="D14" s="500"/>
      <c r="E14" s="5"/>
      <c r="G14" s="575"/>
      <c r="H14" s="558"/>
      <c r="I14" s="558"/>
    </row>
    <row r="15" spans="2:9" ht="13.5" customHeight="1" x14ac:dyDescent="0.3">
      <c r="B15" s="498" t="s">
        <v>15</v>
      </c>
      <c r="C15" s="493"/>
      <c r="D15" s="500"/>
      <c r="E15" s="353"/>
      <c r="G15" s="362">
        <v>1.2</v>
      </c>
      <c r="H15" s="284" t="s">
        <v>16</v>
      </c>
      <c r="I15" s="285">
        <v>3.5000000000000003E-2</v>
      </c>
    </row>
    <row r="16" spans="2:9" x14ac:dyDescent="0.3">
      <c r="B16" s="498" t="s">
        <v>17</v>
      </c>
      <c r="C16" s="493"/>
      <c r="D16" s="500"/>
      <c r="E16" s="353"/>
      <c r="G16" s="431">
        <v>0.8</v>
      </c>
      <c r="H16" s="286">
        <v>0.04</v>
      </c>
      <c r="I16" s="175">
        <v>0.02</v>
      </c>
    </row>
    <row r="17" spans="2:18" ht="15" customHeight="1" x14ac:dyDescent="0.3">
      <c r="B17" s="498" t="s">
        <v>18</v>
      </c>
      <c r="C17" s="493"/>
      <c r="D17" s="506" t="str">
        <f>IF(OR(D12="",D13="",D14=""),"",IF(D14="Y","GAHP - Government-Aided Housing Project",IF(AND(D12="Long Term Vacant Rehab",D13="81% - 120% AMI"),"FTHP - Fast Track Housing Project",IF(OR(D13="Up to 60% AMI",D13="61% - 80% AMI"),"FTHP - Fast Track Housing Project","SWHP - Standard Workforce Housing Project"))))</f>
        <v/>
      </c>
      <c r="E17" s="5"/>
      <c r="G17" s="312" t="s">
        <v>19</v>
      </c>
      <c r="H17" s="313">
        <v>0.01</v>
      </c>
      <c r="I17" s="432">
        <v>5.0000000000000001E-3</v>
      </c>
    </row>
    <row r="18" spans="2:18" ht="13.95" customHeight="1" x14ac:dyDescent="0.3">
      <c r="B18" s="501" t="s">
        <v>20</v>
      </c>
      <c r="C18" s="502"/>
      <c r="D18" s="503" t="str">
        <f>IF(OR(D12="",D13=""),"",IF(AND(D12="Long Term Vacant Rehab",D13="Up to 60% AMI"),I17,IF(AND(D12="Long Term Vacant Rehab",D13="61% - 80% AMI"),I16,IF(AND(D12="Long Term Vacant Rehab",D13="81% - 120% AMI"),I15,IF(D13="Up to 60% AMI",H17,IF(D13="61% - 80% AMI",H16,H15))))))</f>
        <v/>
      </c>
      <c r="E18" s="5"/>
    </row>
    <row r="19" spans="2:18" x14ac:dyDescent="0.3">
      <c r="G19" s="361"/>
      <c r="H19" s="361"/>
    </row>
    <row r="21" spans="2:18" x14ac:dyDescent="0.3">
      <c r="B21" s="32" t="s">
        <v>21</v>
      </c>
      <c r="C21" s="33"/>
      <c r="D21" s="34"/>
      <c r="F21" s="6" t="s">
        <v>22</v>
      </c>
      <c r="G21" s="9"/>
      <c r="H21" s="9"/>
      <c r="I21" s="9"/>
      <c r="J21" s="75"/>
      <c r="L21" s="6" t="s">
        <v>23</v>
      </c>
      <c r="M21" s="9"/>
      <c r="N21" s="9"/>
      <c r="O21" s="9"/>
      <c r="P21" s="9"/>
      <c r="Q21" s="9"/>
      <c r="R21" s="75"/>
    </row>
    <row r="22" spans="2:18" x14ac:dyDescent="0.3">
      <c r="B22" s="571" t="s">
        <v>24</v>
      </c>
      <c r="C22" s="572"/>
      <c r="D22" s="538" t="s">
        <v>25</v>
      </c>
      <c r="F22" s="573" t="s">
        <v>24</v>
      </c>
      <c r="G22" s="574"/>
      <c r="H22" s="301" t="s">
        <v>26</v>
      </c>
      <c r="I22" s="301" t="s">
        <v>27</v>
      </c>
      <c r="J22" s="301" t="s">
        <v>28</v>
      </c>
      <c r="L22" s="301" t="s">
        <v>29</v>
      </c>
      <c r="M22" s="301" t="s">
        <v>30</v>
      </c>
      <c r="N22" s="301" t="s">
        <v>31</v>
      </c>
      <c r="O22" s="301" t="s">
        <v>32</v>
      </c>
      <c r="P22" s="301" t="s">
        <v>33</v>
      </c>
      <c r="Q22" s="301" t="s">
        <v>34</v>
      </c>
      <c r="R22" s="301" t="s">
        <v>35</v>
      </c>
    </row>
    <row r="23" spans="2:18" x14ac:dyDescent="0.3">
      <c r="B23" s="23" t="s">
        <v>36</v>
      </c>
      <c r="C23" s="27"/>
      <c r="D23" s="190"/>
      <c r="F23" s="256" t="s">
        <v>37</v>
      </c>
      <c r="G23" s="257"/>
      <c r="H23" s="258"/>
      <c r="I23" s="258"/>
      <c r="J23" s="259"/>
      <c r="L23" s="427" t="s">
        <v>38</v>
      </c>
      <c r="M23" s="420" t="str">
        <f>IF(SUMIFS('Unit Summary - Rent Roll'!$H$27:$H$326,'Unit Summary - Rent Roll'!$E$27:$E$326,Overview!M$22,'Unit Summary - Rent Roll'!$K$27:$K$326,Overview!$L23)=0,"",SUMIFS('Unit Summary - Rent Roll'!$H$27:$H$326,'Unit Summary - Rent Roll'!$E$27:$E$326,Overview!M$22,'Unit Summary - Rent Roll'!$K$27:$K$326,Overview!$L23))</f>
        <v/>
      </c>
      <c r="N23" s="420" t="str">
        <f>IF(SUMIFS('Unit Summary - Rent Roll'!$H$27:$H$326,'Unit Summary - Rent Roll'!$E$27:$E$326,Overview!N$22,'Unit Summary - Rent Roll'!$K$27:$K$326,Overview!$L23)=0,"",SUMIFS('Unit Summary - Rent Roll'!$H$27:$H$326,'Unit Summary - Rent Roll'!$E$27:$E$326,Overview!N$22,'Unit Summary - Rent Roll'!$K$27:$K$326,Overview!$L23))</f>
        <v/>
      </c>
      <c r="O23" s="420" t="str">
        <f>IF(SUMIFS('Unit Summary - Rent Roll'!$H$27:$H$326,'Unit Summary - Rent Roll'!$E$27:$E$326,Overview!O$22,'Unit Summary - Rent Roll'!$K$27:$K$326,Overview!$L23)=0,"",SUMIFS('Unit Summary - Rent Roll'!$H$27:$H$326,'Unit Summary - Rent Roll'!$E$27:$E$326,Overview!O$22,'Unit Summary - Rent Roll'!$K$27:$K$326,Overview!$L23))</f>
        <v/>
      </c>
      <c r="P23" s="420" t="str">
        <f>IF(SUMIFS('Unit Summary - Rent Roll'!$H$27:$H$326,'Unit Summary - Rent Roll'!$E$27:$E$326,Overview!P$22,'Unit Summary - Rent Roll'!$K$27:$K$326,Overview!$L23)=0,"",SUMIFS('Unit Summary - Rent Roll'!$H$27:$H$326,'Unit Summary - Rent Roll'!$E$27:$E$326,Overview!P$22,'Unit Summary - Rent Roll'!$K$27:$K$326,Overview!$L23))</f>
        <v/>
      </c>
      <c r="Q23" s="430" t="str">
        <f>IF(SUMIFS('Unit Summary - Rent Roll'!$H$27:$H$326,'Unit Summary - Rent Roll'!$E$27:$E$326,Overview!Q$22,'Unit Summary - Rent Roll'!$K$27:$K$326,Overview!$L23)=0,"",SUMIFS('Unit Summary - Rent Roll'!$H$27:$H$326,'Unit Summary - Rent Roll'!$E$27:$E$326,Overview!Q$22,'Unit Summary - Rent Roll'!$K$27:$K$326,Overview!$L23))</f>
        <v/>
      </c>
      <c r="R23" s="426">
        <f t="shared" ref="R23:R34" si="0">SUM(M23:Q23)</f>
        <v>0</v>
      </c>
    </row>
    <row r="24" spans="2:18" x14ac:dyDescent="0.3">
      <c r="B24" s="492" t="s">
        <v>39</v>
      </c>
      <c r="C24" s="28"/>
      <c r="D24" s="191"/>
      <c r="F24" s="15" t="s">
        <v>40</v>
      </c>
      <c r="H24" s="264">
        <f>IF($D$17="Standard Workforce Housing (SWHP)",'Financials- SWHP'!P30,'Financials-FTHP &amp; GAHP'!M31)</f>
        <v>0</v>
      </c>
      <c r="I24" s="264">
        <f>IFERROR(H24/$D$31,0)</f>
        <v>0</v>
      </c>
      <c r="J24" s="303">
        <f>IFERROR(H24/$H$32,0)</f>
        <v>0</v>
      </c>
      <c r="L24" s="427">
        <v>0.2</v>
      </c>
      <c r="M24" s="420" t="str">
        <f>IF(SUMIFS('Unit Summary - Rent Roll'!$H$27:$H$326,'Unit Summary - Rent Roll'!$E$27:$E$326,Overview!M$22,'Unit Summary - Rent Roll'!$K$27:$K$326,Overview!$L24)=0,"",SUMIFS('Unit Summary - Rent Roll'!$H$27:$H$326,'Unit Summary - Rent Roll'!$E$27:$E$326,Overview!M$22,'Unit Summary - Rent Roll'!$K$27:$K$326,Overview!$L24))</f>
        <v/>
      </c>
      <c r="N24" s="420" t="str">
        <f>IF(SUMIFS('Unit Summary - Rent Roll'!$H$27:$H$326,'Unit Summary - Rent Roll'!$E$27:$E$326,Overview!N$22,'Unit Summary - Rent Roll'!$K$27:$K$326,Overview!$L24)=0,"",SUMIFS('Unit Summary - Rent Roll'!$H$27:$H$326,'Unit Summary - Rent Roll'!$E$27:$E$326,Overview!N$22,'Unit Summary - Rent Roll'!$K$27:$K$326,Overview!$L24))</f>
        <v/>
      </c>
      <c r="O24" s="420" t="str">
        <f>IF(SUMIFS('Unit Summary - Rent Roll'!$H$27:$H$326,'Unit Summary - Rent Roll'!$E$27:$E$326,Overview!O$22,'Unit Summary - Rent Roll'!$K$27:$K$326,Overview!$L24)=0,"",SUMIFS('Unit Summary - Rent Roll'!$H$27:$H$326,'Unit Summary - Rent Roll'!$E$27:$E$326,Overview!O$22,'Unit Summary - Rent Roll'!$K$27:$K$326,Overview!$L24))</f>
        <v/>
      </c>
      <c r="P24" s="420" t="str">
        <f>IF(SUMIFS('Unit Summary - Rent Roll'!$H$27:$H$326,'Unit Summary - Rent Roll'!$E$27:$E$326,Overview!P$22,'Unit Summary - Rent Roll'!$K$27:$K$326,Overview!$L24)=0,"",SUMIFS('Unit Summary - Rent Roll'!$H$27:$H$326,'Unit Summary - Rent Roll'!$E$27:$E$326,Overview!P$22,'Unit Summary - Rent Roll'!$K$27:$K$326,Overview!$L24))</f>
        <v/>
      </c>
      <c r="Q24" s="430" t="str">
        <f>IF(SUMIFS('Unit Summary - Rent Roll'!$H$27:$H$326,'Unit Summary - Rent Roll'!$E$27:$E$326,Overview!Q$22,'Unit Summary - Rent Roll'!$K$27:$K$326,Overview!$L24)=0,"",SUMIFS('Unit Summary - Rent Roll'!$H$27:$H$326,'Unit Summary - Rent Roll'!$E$27:$E$326,Overview!Q$22,'Unit Summary - Rent Roll'!$K$27:$K$326,Overview!$L24))</f>
        <v/>
      </c>
      <c r="R24" s="428">
        <f t="shared" si="0"/>
        <v>0</v>
      </c>
    </row>
    <row r="25" spans="2:18" x14ac:dyDescent="0.3">
      <c r="B25" s="492"/>
      <c r="C25" s="28"/>
      <c r="D25" s="64"/>
      <c r="F25" s="15" t="s">
        <v>41</v>
      </c>
      <c r="H25" s="264">
        <f>IF($D$17="Standard Workforce Housing (SWHP)",SUM('Financials- SWHP'!P26:P27),SUM('Financials-FTHP &amp; GAHP'!M27:M28))</f>
        <v>0</v>
      </c>
      <c r="I25" s="264">
        <f t="shared" ref="I25:I32" si="1">IFERROR(H25/$D$31,0)</f>
        <v>0</v>
      </c>
      <c r="J25" s="303">
        <f t="shared" ref="J25:J32" si="2">IFERROR(H25/$H$32,0)</f>
        <v>0</v>
      </c>
      <c r="L25" s="427">
        <v>0.25</v>
      </c>
      <c r="M25" s="420" t="str">
        <f>IF(SUMIFS('Unit Summary - Rent Roll'!$H$27:$H$326,'Unit Summary - Rent Roll'!$E$27:$E$326,Overview!M$22,'Unit Summary - Rent Roll'!$K$27:$K$326,Overview!$L25)=0,"",SUMIFS('Unit Summary - Rent Roll'!$H$27:$H$326,'Unit Summary - Rent Roll'!$E$27:$E$326,Overview!M$22,'Unit Summary - Rent Roll'!$K$27:$K$326,Overview!$L25))</f>
        <v/>
      </c>
      <c r="N25" s="420" t="str">
        <f>IF(SUMIFS('Unit Summary - Rent Roll'!$H$27:$H$326,'Unit Summary - Rent Roll'!$E$27:$E$326,Overview!N$22,'Unit Summary - Rent Roll'!$K$27:$K$326,Overview!$L25)=0,"",SUMIFS('Unit Summary - Rent Roll'!$H$27:$H$326,'Unit Summary - Rent Roll'!$E$27:$E$326,Overview!N$22,'Unit Summary - Rent Roll'!$K$27:$K$326,Overview!$L25))</f>
        <v/>
      </c>
      <c r="O25" s="420" t="str">
        <f>IF(SUMIFS('Unit Summary - Rent Roll'!$H$27:$H$326,'Unit Summary - Rent Roll'!$E$27:$E$326,Overview!O$22,'Unit Summary - Rent Roll'!$K$27:$K$326,Overview!$L25)=0,"",SUMIFS('Unit Summary - Rent Roll'!$H$27:$H$326,'Unit Summary - Rent Roll'!$E$27:$E$326,Overview!O$22,'Unit Summary - Rent Roll'!$K$27:$K$326,Overview!$L25))</f>
        <v/>
      </c>
      <c r="P25" s="420" t="str">
        <f>IF(SUMIFS('Unit Summary - Rent Roll'!$H$27:$H$326,'Unit Summary - Rent Roll'!$E$27:$E$326,Overview!P$22,'Unit Summary - Rent Roll'!$K$27:$K$326,Overview!$L25)=0,"",SUMIFS('Unit Summary - Rent Roll'!$H$27:$H$326,'Unit Summary - Rent Roll'!$E$27:$E$326,Overview!P$22,'Unit Summary - Rent Roll'!$K$27:$K$326,Overview!$L25))</f>
        <v/>
      </c>
      <c r="Q25" s="430" t="str">
        <f>IF(SUMIFS('Unit Summary - Rent Roll'!$H$27:$H$326,'Unit Summary - Rent Roll'!$E$27:$E$326,Overview!Q$22,'Unit Summary - Rent Roll'!$K$27:$K$326,Overview!$L25)=0,"",SUMIFS('Unit Summary - Rent Roll'!$H$27:$H$326,'Unit Summary - Rent Roll'!$E$27:$E$326,Overview!Q$22,'Unit Summary - Rent Roll'!$K$27:$K$326,Overview!$L25))</f>
        <v/>
      </c>
      <c r="R25" s="428">
        <f t="shared" si="0"/>
        <v>0</v>
      </c>
    </row>
    <row r="26" spans="2:18" x14ac:dyDescent="0.3">
      <c r="B26" s="492" t="s">
        <v>42</v>
      </c>
      <c r="C26" s="28"/>
      <c r="D26" s="192"/>
      <c r="F26" s="15" t="s">
        <v>43</v>
      </c>
      <c r="H26" s="264">
        <f>IF($D$17="Standard Workforce Housing (SWHP)",SUM('Financials- SWHP'!P24:P25),SUM('Financials-FTHP &amp; GAHP'!M25:M26))</f>
        <v>0</v>
      </c>
      <c r="I26" s="264">
        <f t="shared" si="1"/>
        <v>0</v>
      </c>
      <c r="J26" s="303">
        <f t="shared" si="2"/>
        <v>0</v>
      </c>
      <c r="L26" s="427">
        <v>0.3</v>
      </c>
      <c r="M26" s="420" t="str">
        <f>IF(SUMIFS('Unit Summary - Rent Roll'!$H$27:$H$326,'Unit Summary - Rent Roll'!$E$27:$E$326,Overview!M$22,'Unit Summary - Rent Roll'!$K$27:$K$326,Overview!$L26)=0,"",SUMIFS('Unit Summary - Rent Roll'!$H$27:$H$326,'Unit Summary - Rent Roll'!$E$27:$E$326,Overview!M$22,'Unit Summary - Rent Roll'!$K$27:$K$326,Overview!$L26))</f>
        <v/>
      </c>
      <c r="N26" s="420" t="str">
        <f>IF(SUMIFS('Unit Summary - Rent Roll'!$H$27:$H$326,'Unit Summary - Rent Roll'!$E$27:$E$326,Overview!N$22,'Unit Summary - Rent Roll'!$K$27:$K$326,Overview!$L26)=0,"",SUMIFS('Unit Summary - Rent Roll'!$H$27:$H$326,'Unit Summary - Rent Roll'!$E$27:$E$326,Overview!N$22,'Unit Summary - Rent Roll'!$K$27:$K$326,Overview!$L26))</f>
        <v/>
      </c>
      <c r="O26" s="420" t="str">
        <f>IF(SUMIFS('Unit Summary - Rent Roll'!$H$27:$H$326,'Unit Summary - Rent Roll'!$E$27:$E$326,Overview!O$22,'Unit Summary - Rent Roll'!$K$27:$K$326,Overview!$L26)=0,"",SUMIFS('Unit Summary - Rent Roll'!$H$27:$H$326,'Unit Summary - Rent Roll'!$E$27:$E$326,Overview!O$22,'Unit Summary - Rent Roll'!$K$27:$K$326,Overview!$L26))</f>
        <v/>
      </c>
      <c r="P26" s="420" t="str">
        <f>IF(SUMIFS('Unit Summary - Rent Roll'!$H$27:$H$326,'Unit Summary - Rent Roll'!$E$27:$E$326,Overview!P$22,'Unit Summary - Rent Roll'!$K$27:$K$326,Overview!$L26)=0,"",SUMIFS('Unit Summary - Rent Roll'!$H$27:$H$326,'Unit Summary - Rent Roll'!$E$27:$E$326,Overview!P$22,'Unit Summary - Rent Roll'!$K$27:$K$326,Overview!$L26))</f>
        <v/>
      </c>
      <c r="Q26" s="430" t="str">
        <f>IF(SUMIFS('Unit Summary - Rent Roll'!$H$27:$H$326,'Unit Summary - Rent Roll'!$E$27:$E$326,Overview!Q$22,'Unit Summary - Rent Roll'!$K$27:$K$326,Overview!$L26)=0,"",SUMIFS('Unit Summary - Rent Roll'!$H$27:$H$326,'Unit Summary - Rent Roll'!$E$27:$E$326,Overview!Q$22,'Unit Summary - Rent Roll'!$K$27:$K$326,Overview!$L26))</f>
        <v/>
      </c>
      <c r="R26" s="428">
        <f t="shared" si="0"/>
        <v>0</v>
      </c>
    </row>
    <row r="27" spans="2:18" x14ac:dyDescent="0.3">
      <c r="B27" s="492" t="s">
        <v>44</v>
      </c>
      <c r="C27" s="28"/>
      <c r="D27" s="193"/>
      <c r="F27" s="15" t="s">
        <v>45</v>
      </c>
      <c r="H27" s="264">
        <f>IF($D$17="Standard Workforce Housing (SWHP)",SUM('Financials- SWHP'!P17:P20),SUM('Financials-FTHP &amp; GAHP'!M18:M21))</f>
        <v>0</v>
      </c>
      <c r="I27" s="264">
        <f t="shared" si="1"/>
        <v>0</v>
      </c>
      <c r="J27" s="303">
        <f t="shared" si="2"/>
        <v>0</v>
      </c>
      <c r="L27" s="427">
        <v>0.35</v>
      </c>
      <c r="M27" s="420" t="str">
        <f>IF(SUMIFS('Unit Summary - Rent Roll'!$H$27:$H$326,'Unit Summary - Rent Roll'!$E$27:$E$326,Overview!M$22,'Unit Summary - Rent Roll'!$K$27:$K$326,Overview!$L27)=0,"",SUMIFS('Unit Summary - Rent Roll'!$H$27:$H$326,'Unit Summary - Rent Roll'!$E$27:$E$326,Overview!M$22,'Unit Summary - Rent Roll'!$K$27:$K$326,Overview!$L27))</f>
        <v/>
      </c>
      <c r="N27" s="420" t="str">
        <f>IF(SUMIFS('Unit Summary - Rent Roll'!$H$27:$H$326,'Unit Summary - Rent Roll'!$E$27:$E$326,Overview!N$22,'Unit Summary - Rent Roll'!$K$27:$K$326,Overview!$L27)=0,"",SUMIFS('Unit Summary - Rent Roll'!$H$27:$H$326,'Unit Summary - Rent Roll'!$E$27:$E$326,Overview!N$22,'Unit Summary - Rent Roll'!$K$27:$K$326,Overview!$L27))</f>
        <v/>
      </c>
      <c r="O27" s="420" t="str">
        <f>IF(SUMIFS('Unit Summary - Rent Roll'!$H$27:$H$326,'Unit Summary - Rent Roll'!$E$27:$E$326,Overview!O$22,'Unit Summary - Rent Roll'!$K$27:$K$326,Overview!$L27)=0,"",SUMIFS('Unit Summary - Rent Roll'!$H$27:$H$326,'Unit Summary - Rent Roll'!$E$27:$E$326,Overview!O$22,'Unit Summary - Rent Roll'!$K$27:$K$326,Overview!$L27))</f>
        <v/>
      </c>
      <c r="P27" s="420" t="str">
        <f>IF(SUMIFS('Unit Summary - Rent Roll'!$H$27:$H$326,'Unit Summary - Rent Roll'!$E$27:$E$326,Overview!P$22,'Unit Summary - Rent Roll'!$K$27:$K$326,Overview!$L27)=0,"",SUMIFS('Unit Summary - Rent Roll'!$H$27:$H$326,'Unit Summary - Rent Roll'!$E$27:$E$326,Overview!P$22,'Unit Summary - Rent Roll'!$K$27:$K$326,Overview!$L27))</f>
        <v/>
      </c>
      <c r="Q27" s="430" t="str">
        <f>IF(SUMIFS('Unit Summary - Rent Roll'!$H$27:$H$326,'Unit Summary - Rent Roll'!$E$27:$E$326,Overview!Q$22,'Unit Summary - Rent Roll'!$K$27:$K$326,Overview!$L27)=0,"",SUMIFS('Unit Summary - Rent Roll'!$H$27:$H$326,'Unit Summary - Rent Roll'!$E$27:$E$326,Overview!Q$22,'Unit Summary - Rent Roll'!$K$27:$K$326,Overview!$L27))</f>
        <v/>
      </c>
      <c r="R27" s="428">
        <f t="shared" si="0"/>
        <v>0</v>
      </c>
    </row>
    <row r="28" spans="2:18" x14ac:dyDescent="0.3">
      <c r="B28" s="492" t="s">
        <v>46</v>
      </c>
      <c r="C28" s="28"/>
      <c r="D28" s="65" t="str">
        <f>IF(OR(D26="",D27=""),"",EDATE(D26,D27)-1)</f>
        <v/>
      </c>
      <c r="F28" s="15" t="s">
        <v>47</v>
      </c>
      <c r="H28" s="264">
        <f>IF($D$17="Standard Workforce Housing (SWHP)",'Financials- SWHP'!P28,'Financials-FTHP &amp; GAHP'!M29)</f>
        <v>0</v>
      </c>
      <c r="I28" s="264">
        <f t="shared" si="1"/>
        <v>0</v>
      </c>
      <c r="J28" s="303">
        <f t="shared" si="2"/>
        <v>0</v>
      </c>
      <c r="L28" s="427">
        <v>0.4</v>
      </c>
      <c r="M28" s="420" t="str">
        <f>IF(SUMIFS('Unit Summary - Rent Roll'!$H$27:$H$326,'Unit Summary - Rent Roll'!$E$27:$E$326,Overview!M$22,'Unit Summary - Rent Roll'!$K$27:$K$326,Overview!$L28)=0,"",SUMIFS('Unit Summary - Rent Roll'!$H$27:$H$326,'Unit Summary - Rent Roll'!$E$27:$E$326,Overview!M$22,'Unit Summary - Rent Roll'!$K$27:$K$326,Overview!$L28))</f>
        <v/>
      </c>
      <c r="N28" s="420" t="str">
        <f>IF(SUMIFS('Unit Summary - Rent Roll'!$H$27:$H$326,'Unit Summary - Rent Roll'!$E$27:$E$326,Overview!N$22,'Unit Summary - Rent Roll'!$K$27:$K$326,Overview!$L28)=0,"",SUMIFS('Unit Summary - Rent Roll'!$H$27:$H$326,'Unit Summary - Rent Roll'!$E$27:$E$326,Overview!N$22,'Unit Summary - Rent Roll'!$K$27:$K$326,Overview!$L28))</f>
        <v/>
      </c>
      <c r="O28" s="420" t="str">
        <f>IF(SUMIFS('Unit Summary - Rent Roll'!$H$27:$H$326,'Unit Summary - Rent Roll'!$E$27:$E$326,Overview!O$22,'Unit Summary - Rent Roll'!$K$27:$K$326,Overview!$L28)=0,"",SUMIFS('Unit Summary - Rent Roll'!$H$27:$H$326,'Unit Summary - Rent Roll'!$E$27:$E$326,Overview!O$22,'Unit Summary - Rent Roll'!$K$27:$K$326,Overview!$L28))</f>
        <v/>
      </c>
      <c r="P28" s="420" t="str">
        <f>IF(SUMIFS('Unit Summary - Rent Roll'!$H$27:$H$326,'Unit Summary - Rent Roll'!$E$27:$E$326,Overview!P$22,'Unit Summary - Rent Roll'!$K$27:$K$326,Overview!$L28)=0,"",SUMIFS('Unit Summary - Rent Roll'!$H$27:$H$326,'Unit Summary - Rent Roll'!$E$27:$E$326,Overview!P$22,'Unit Summary - Rent Roll'!$K$27:$K$326,Overview!$L28))</f>
        <v/>
      </c>
      <c r="Q28" s="430" t="str">
        <f>IF(SUMIFS('Unit Summary - Rent Roll'!$H$27:$H$326,'Unit Summary - Rent Roll'!$E$27:$E$326,Overview!Q$22,'Unit Summary - Rent Roll'!$K$27:$K$326,Overview!$L28)=0,"",SUMIFS('Unit Summary - Rent Roll'!$H$27:$H$326,'Unit Summary - Rent Roll'!$E$27:$E$326,Overview!Q$22,'Unit Summary - Rent Roll'!$K$27:$K$326,Overview!$L28))</f>
        <v/>
      </c>
      <c r="R28" s="428">
        <f t="shared" si="0"/>
        <v>0</v>
      </c>
    </row>
    <row r="29" spans="2:18" x14ac:dyDescent="0.3">
      <c r="B29" s="492"/>
      <c r="C29" s="28"/>
      <c r="D29" s="29"/>
      <c r="F29" s="15" t="s">
        <v>48</v>
      </c>
      <c r="H29" s="264">
        <f>IF($D$17="Standard Workforce Housing (SWHP)",SUM('Financials- SWHP'!P21:P23),SUM('Financials-FTHP &amp; GAHP'!M22:M24))</f>
        <v>0</v>
      </c>
      <c r="I29" s="264">
        <f t="shared" si="1"/>
        <v>0</v>
      </c>
      <c r="J29" s="303">
        <f t="shared" si="2"/>
        <v>0</v>
      </c>
      <c r="L29" s="427">
        <v>0.45</v>
      </c>
      <c r="M29" s="420" t="str">
        <f>IF(SUMIFS('Unit Summary - Rent Roll'!$H$27:$H$326,'Unit Summary - Rent Roll'!$E$27:$E$326,Overview!M$22,'Unit Summary - Rent Roll'!$K$27:$K$326,Overview!$L29)=0,"",SUMIFS('Unit Summary - Rent Roll'!$H$27:$H$326,'Unit Summary - Rent Roll'!$E$27:$E$326,Overview!M$22,'Unit Summary - Rent Roll'!$K$27:$K$326,Overview!$L29))</f>
        <v/>
      </c>
      <c r="N29" s="420" t="str">
        <f>IF(SUMIFS('Unit Summary - Rent Roll'!$H$27:$H$326,'Unit Summary - Rent Roll'!$E$27:$E$326,Overview!N$22,'Unit Summary - Rent Roll'!$K$27:$K$326,Overview!$L29)=0,"",SUMIFS('Unit Summary - Rent Roll'!$H$27:$H$326,'Unit Summary - Rent Roll'!$E$27:$E$326,Overview!N$22,'Unit Summary - Rent Roll'!$K$27:$K$326,Overview!$L29))</f>
        <v/>
      </c>
      <c r="O29" s="420" t="str">
        <f>IF(SUMIFS('Unit Summary - Rent Roll'!$H$27:$H$326,'Unit Summary - Rent Roll'!$E$27:$E$326,Overview!O$22,'Unit Summary - Rent Roll'!$K$27:$K$326,Overview!$L29)=0,"",SUMIFS('Unit Summary - Rent Roll'!$H$27:$H$326,'Unit Summary - Rent Roll'!$E$27:$E$326,Overview!O$22,'Unit Summary - Rent Roll'!$K$27:$K$326,Overview!$L29))</f>
        <v/>
      </c>
      <c r="P29" s="420" t="str">
        <f>IF(SUMIFS('Unit Summary - Rent Roll'!$H$27:$H$326,'Unit Summary - Rent Roll'!$E$27:$E$326,Overview!P$22,'Unit Summary - Rent Roll'!$K$27:$K$326,Overview!$L29)=0,"",SUMIFS('Unit Summary - Rent Roll'!$H$27:$H$326,'Unit Summary - Rent Roll'!$E$27:$E$326,Overview!P$22,'Unit Summary - Rent Roll'!$K$27:$K$326,Overview!$L29))</f>
        <v/>
      </c>
      <c r="Q29" s="430" t="str">
        <f>IF(SUMIFS('Unit Summary - Rent Roll'!$H$27:$H$326,'Unit Summary - Rent Roll'!$E$27:$E$326,Overview!Q$22,'Unit Summary - Rent Roll'!$K$27:$K$326,Overview!$L29)=0,"",SUMIFS('Unit Summary - Rent Roll'!$H$27:$H$326,'Unit Summary - Rent Roll'!$E$27:$E$326,Overview!Q$22,'Unit Summary - Rent Roll'!$K$27:$K$326,Overview!$L29))</f>
        <v/>
      </c>
      <c r="R29" s="428">
        <f t="shared" si="0"/>
        <v>0</v>
      </c>
    </row>
    <row r="30" spans="2:18" x14ac:dyDescent="0.3">
      <c r="B30" s="492" t="s">
        <v>49</v>
      </c>
      <c r="C30" s="28"/>
      <c r="D30" s="194">
        <v>0</v>
      </c>
      <c r="F30" s="15" t="s">
        <v>50</v>
      </c>
      <c r="H30" s="264">
        <f>IF($D$17="Standard Workforce Housing (SWHP)",SUM('Financials- SWHP'!P29,'Financials- SWHP'!P32:P33),SUM('Financials-FTHP &amp; GAHP'!M30,'Financials-FTHP &amp; GAHP'!M33:M34))</f>
        <v>0</v>
      </c>
      <c r="I30" s="264">
        <f t="shared" si="1"/>
        <v>0</v>
      </c>
      <c r="J30" s="303">
        <f t="shared" si="2"/>
        <v>0</v>
      </c>
      <c r="L30" s="427">
        <v>0.5</v>
      </c>
      <c r="M30" s="420" t="str">
        <f>IF(SUMIFS('Unit Summary - Rent Roll'!$H$27:$H$326,'Unit Summary - Rent Roll'!$E$27:$E$326,Overview!M$22,'Unit Summary - Rent Roll'!$K$27:$K$326,Overview!$L30)=0,"",SUMIFS('Unit Summary - Rent Roll'!$H$27:$H$326,'Unit Summary - Rent Roll'!$E$27:$E$326,Overview!M$22,'Unit Summary - Rent Roll'!$K$27:$K$326,Overview!$L30))</f>
        <v/>
      </c>
      <c r="N30" s="420" t="str">
        <f>IF(SUMIFS('Unit Summary - Rent Roll'!$H$27:$H$326,'Unit Summary - Rent Roll'!$E$27:$E$326,Overview!N$22,'Unit Summary - Rent Roll'!$K$27:$K$326,Overview!$L30)=0,"",SUMIFS('Unit Summary - Rent Roll'!$H$27:$H$326,'Unit Summary - Rent Roll'!$E$27:$E$326,Overview!N$22,'Unit Summary - Rent Roll'!$K$27:$K$326,Overview!$L30))</f>
        <v/>
      </c>
      <c r="O30" s="420" t="str">
        <f>IF(SUMIFS('Unit Summary - Rent Roll'!$H$27:$H$326,'Unit Summary - Rent Roll'!$E$27:$E$326,Overview!O$22,'Unit Summary - Rent Roll'!$K$27:$K$326,Overview!$L30)=0,"",SUMIFS('Unit Summary - Rent Roll'!$H$27:$H$326,'Unit Summary - Rent Roll'!$E$27:$E$326,Overview!O$22,'Unit Summary - Rent Roll'!$K$27:$K$326,Overview!$L30))</f>
        <v/>
      </c>
      <c r="P30" s="420" t="str">
        <f>IF(SUMIFS('Unit Summary - Rent Roll'!$H$27:$H$326,'Unit Summary - Rent Roll'!$E$27:$E$326,Overview!P$22,'Unit Summary - Rent Roll'!$K$27:$K$326,Overview!$L30)=0,"",SUMIFS('Unit Summary - Rent Roll'!$H$27:$H$326,'Unit Summary - Rent Roll'!$E$27:$E$326,Overview!P$22,'Unit Summary - Rent Roll'!$K$27:$K$326,Overview!$L30))</f>
        <v/>
      </c>
      <c r="Q30" s="430" t="str">
        <f>IF(SUMIFS('Unit Summary - Rent Roll'!$H$27:$H$326,'Unit Summary - Rent Roll'!$E$27:$E$326,Overview!Q$22,'Unit Summary - Rent Roll'!$K$27:$K$326,Overview!$L30)=0,"",SUMIFS('Unit Summary - Rent Roll'!$H$27:$H$326,'Unit Summary - Rent Roll'!$E$27:$E$326,Overview!Q$22,'Unit Summary - Rent Roll'!$K$27:$K$326,Overview!$L30))</f>
        <v/>
      </c>
      <c r="R30" s="428">
        <f t="shared" si="0"/>
        <v>0</v>
      </c>
    </row>
    <row r="31" spans="2:18" x14ac:dyDescent="0.3">
      <c r="B31" s="492" t="s">
        <v>51</v>
      </c>
      <c r="C31" s="28"/>
      <c r="D31" s="87">
        <f>'Unit Summary - Rent Roll'!H327</f>
        <v>0</v>
      </c>
      <c r="F31" s="15" t="s">
        <v>52</v>
      </c>
      <c r="H31" s="264">
        <f>IF($D$17="Standard Workforce Housing (SWHP)",'Financials- SWHP'!P31,'Financials-FTHP &amp; GAHP'!M32)</f>
        <v>0</v>
      </c>
      <c r="I31" s="264">
        <f t="shared" si="1"/>
        <v>0</v>
      </c>
      <c r="J31" s="303">
        <f t="shared" si="2"/>
        <v>0</v>
      </c>
      <c r="L31" s="427">
        <v>0.55000000000000004</v>
      </c>
      <c r="M31" s="420" t="str">
        <f>IF(SUMIFS('Unit Summary - Rent Roll'!$H$27:$H$326,'Unit Summary - Rent Roll'!$E$27:$E$326,Overview!M$22,'Unit Summary - Rent Roll'!$K$27:$K$326,Overview!$L31)=0,"",SUMIFS('Unit Summary - Rent Roll'!$H$27:$H$326,'Unit Summary - Rent Roll'!$E$27:$E$326,Overview!M$22,'Unit Summary - Rent Roll'!$K$27:$K$326,Overview!$L31))</f>
        <v/>
      </c>
      <c r="N31" s="420" t="str">
        <f>IF(SUMIFS('Unit Summary - Rent Roll'!$H$27:$H$326,'Unit Summary - Rent Roll'!$E$27:$E$326,Overview!N$22,'Unit Summary - Rent Roll'!$K$27:$K$326,Overview!$L31)=0,"",SUMIFS('Unit Summary - Rent Roll'!$H$27:$H$326,'Unit Summary - Rent Roll'!$E$27:$E$326,Overview!N$22,'Unit Summary - Rent Roll'!$K$27:$K$326,Overview!$L31))</f>
        <v/>
      </c>
      <c r="O31" s="420" t="str">
        <f>IF(SUMIFS('Unit Summary - Rent Roll'!$H$27:$H$326,'Unit Summary - Rent Roll'!$E$27:$E$326,Overview!O$22,'Unit Summary - Rent Roll'!$K$27:$K$326,Overview!$L31)=0,"",SUMIFS('Unit Summary - Rent Roll'!$H$27:$H$326,'Unit Summary - Rent Roll'!$E$27:$E$326,Overview!O$22,'Unit Summary - Rent Roll'!$K$27:$K$326,Overview!$L31))</f>
        <v/>
      </c>
      <c r="P31" s="420" t="str">
        <f>IF(SUMIFS('Unit Summary - Rent Roll'!$H$27:$H$326,'Unit Summary - Rent Roll'!$E$27:$E$326,Overview!P$22,'Unit Summary - Rent Roll'!$K$27:$K$326,Overview!$L31)=0,"",SUMIFS('Unit Summary - Rent Roll'!$H$27:$H$326,'Unit Summary - Rent Roll'!$E$27:$E$326,Overview!P$22,'Unit Summary - Rent Roll'!$K$27:$K$326,Overview!$L31))</f>
        <v/>
      </c>
      <c r="Q31" s="430" t="str">
        <f>IF(SUMIFS('Unit Summary - Rent Roll'!$H$27:$H$326,'Unit Summary - Rent Roll'!$E$27:$E$326,Overview!Q$22,'Unit Summary - Rent Roll'!$K$27:$K$326,Overview!$L31)=0,"",SUMIFS('Unit Summary - Rent Roll'!$H$27:$H$326,'Unit Summary - Rent Roll'!$E$27:$E$326,Overview!Q$22,'Unit Summary - Rent Roll'!$K$27:$K$326,Overview!$L31))</f>
        <v/>
      </c>
      <c r="R31" s="428">
        <f t="shared" si="0"/>
        <v>0</v>
      </c>
    </row>
    <row r="32" spans="2:18" x14ac:dyDescent="0.3">
      <c r="B32" s="36" t="s">
        <v>53</v>
      </c>
      <c r="C32" s="28"/>
      <c r="D32" s="87">
        <f ca="1">SUMIFS(OFFSET('Unit Summary - Rent Roll'!$H$26,1,0):OFFSET('Unit Summary - Rent Roll'!$H$327,-1,0),OFFSET('Unit Summary - Rent Roll'!$K$26,1,0):OFFSET('Unit Summary - Rent Roll'!$K$327,-1,0),"None - Market")</f>
        <v>0</v>
      </c>
      <c r="F32" s="171" t="s">
        <v>54</v>
      </c>
      <c r="G32" s="172"/>
      <c r="H32" s="265">
        <f>SUM(H24:H31)</f>
        <v>0</v>
      </c>
      <c r="I32" s="265">
        <f t="shared" si="1"/>
        <v>0</v>
      </c>
      <c r="J32" s="304">
        <f t="shared" si="2"/>
        <v>0</v>
      </c>
      <c r="L32" s="427">
        <v>0.6</v>
      </c>
      <c r="M32" s="420" t="str">
        <f>IF(SUMIFS('Unit Summary - Rent Roll'!$H$27:$H$326,'Unit Summary - Rent Roll'!$E$27:$E$326,Overview!M$22,'Unit Summary - Rent Roll'!$K$27:$K$326,Overview!$L32)=0,"",SUMIFS('Unit Summary - Rent Roll'!$H$27:$H$326,'Unit Summary - Rent Roll'!$E$27:$E$326,Overview!M$22,'Unit Summary - Rent Roll'!$K$27:$K$326,Overview!$L32))</f>
        <v/>
      </c>
      <c r="N32" s="420" t="str">
        <f>IF(SUMIFS('Unit Summary - Rent Roll'!$H$27:$H$326,'Unit Summary - Rent Roll'!$E$27:$E$326,Overview!N$22,'Unit Summary - Rent Roll'!$K$27:$K$326,Overview!$L32)=0,"",SUMIFS('Unit Summary - Rent Roll'!$H$27:$H$326,'Unit Summary - Rent Roll'!$E$27:$E$326,Overview!N$22,'Unit Summary - Rent Roll'!$K$27:$K$326,Overview!$L32))</f>
        <v/>
      </c>
      <c r="O32" s="420" t="str">
        <f>IF(SUMIFS('Unit Summary - Rent Roll'!$H$27:$H$326,'Unit Summary - Rent Roll'!$E$27:$E$326,Overview!O$22,'Unit Summary - Rent Roll'!$K$27:$K$326,Overview!$L32)=0,"",SUMIFS('Unit Summary - Rent Roll'!$H$27:$H$326,'Unit Summary - Rent Roll'!$E$27:$E$326,Overview!O$22,'Unit Summary - Rent Roll'!$K$27:$K$326,Overview!$L32))</f>
        <v/>
      </c>
      <c r="P32" s="420" t="str">
        <f>IF(SUMIFS('Unit Summary - Rent Roll'!$H$27:$H$326,'Unit Summary - Rent Roll'!$E$27:$E$326,Overview!P$22,'Unit Summary - Rent Roll'!$K$27:$K$326,Overview!$L32)=0,"",SUMIFS('Unit Summary - Rent Roll'!$H$27:$H$326,'Unit Summary - Rent Roll'!$E$27:$E$326,Overview!P$22,'Unit Summary - Rent Roll'!$K$27:$K$326,Overview!$L32))</f>
        <v/>
      </c>
      <c r="Q32" s="430" t="str">
        <f>IF(SUMIFS('Unit Summary - Rent Roll'!$H$27:$H$326,'Unit Summary - Rent Roll'!$E$27:$E$326,Overview!Q$22,'Unit Summary - Rent Roll'!$K$27:$K$326,Overview!$L32)=0,"",SUMIFS('Unit Summary - Rent Roll'!$H$27:$H$326,'Unit Summary - Rent Roll'!$E$27:$E$326,Overview!Q$22,'Unit Summary - Rent Roll'!$K$27:$K$326,Overview!$L32))</f>
        <v/>
      </c>
      <c r="R32" s="428">
        <f t="shared" si="0"/>
        <v>0</v>
      </c>
    </row>
    <row r="33" spans="2:27" x14ac:dyDescent="0.3">
      <c r="B33" s="36" t="s">
        <v>55</v>
      </c>
      <c r="C33" s="28"/>
      <c r="D33" s="87">
        <f ca="1">SUMIFS(OFFSET('Unit Summary - Rent Roll'!$H$26,1,0):OFFSET('Unit Summary - Rent Roll'!$H$327,-1,0),OFFSET('Unit Summary - Rent Roll'!$K$26,1,0):OFFSET('Unit Summary - Rent Roll'!$K$327,-1,0),"&gt;0")</f>
        <v>0</v>
      </c>
      <c r="F33" s="253"/>
      <c r="H33" s="254" t="b">
        <f>IF(H32=H48,TRUE,FALSE)</f>
        <v>1</v>
      </c>
      <c r="I33" s="254"/>
      <c r="J33" s="16"/>
      <c r="L33" s="427">
        <v>0.65</v>
      </c>
      <c r="M33" s="420" t="str">
        <f>IF(SUMIFS('Unit Summary - Rent Roll'!$H$27:$H$326,'Unit Summary - Rent Roll'!$E$27:$E$326,Overview!M$22,'Unit Summary - Rent Roll'!$K$27:$K$326,Overview!$L33)=0,"",SUMIFS('Unit Summary - Rent Roll'!$H$27:$H$326,'Unit Summary - Rent Roll'!$E$27:$E$326,Overview!M$22,'Unit Summary - Rent Roll'!$K$27:$K$326,Overview!$L33))</f>
        <v/>
      </c>
      <c r="N33" s="420" t="str">
        <f>IF(SUMIFS('Unit Summary - Rent Roll'!$H$27:$H$326,'Unit Summary - Rent Roll'!$E$27:$E$326,Overview!N$22,'Unit Summary - Rent Roll'!$K$27:$K$326,Overview!$L33)=0,"",SUMIFS('Unit Summary - Rent Roll'!$H$27:$H$326,'Unit Summary - Rent Roll'!$E$27:$E$326,Overview!N$22,'Unit Summary - Rent Roll'!$K$27:$K$326,Overview!$L33))</f>
        <v/>
      </c>
      <c r="O33" s="420" t="str">
        <f>IF(SUMIFS('Unit Summary - Rent Roll'!$H$27:$H$326,'Unit Summary - Rent Roll'!$E$27:$E$326,Overview!O$22,'Unit Summary - Rent Roll'!$K$27:$K$326,Overview!$L33)=0,"",SUMIFS('Unit Summary - Rent Roll'!$H$27:$H$326,'Unit Summary - Rent Roll'!$E$27:$E$326,Overview!O$22,'Unit Summary - Rent Roll'!$K$27:$K$326,Overview!$L33))</f>
        <v/>
      </c>
      <c r="P33" s="420" t="str">
        <f>IF(SUMIFS('Unit Summary - Rent Roll'!$H$27:$H$326,'Unit Summary - Rent Roll'!$E$27:$E$326,Overview!P$22,'Unit Summary - Rent Roll'!$K$27:$K$326,Overview!$L33)=0,"",SUMIFS('Unit Summary - Rent Roll'!$H$27:$H$326,'Unit Summary - Rent Roll'!$E$27:$E$326,Overview!P$22,'Unit Summary - Rent Roll'!$K$27:$K$326,Overview!$L33))</f>
        <v/>
      </c>
      <c r="Q33" s="430" t="str">
        <f>IF(SUMIFS('Unit Summary - Rent Roll'!$H$27:$H$326,'Unit Summary - Rent Roll'!$E$27:$E$326,Overview!Q$22,'Unit Summary - Rent Roll'!$K$27:$K$326,Overview!$L33)=0,"",SUMIFS('Unit Summary - Rent Roll'!$H$27:$H$326,'Unit Summary - Rent Roll'!$E$27:$E$326,Overview!Q$22,'Unit Summary - Rent Roll'!$K$27:$K$326,Overview!$L33))</f>
        <v/>
      </c>
      <c r="R33" s="428">
        <f t="shared" si="0"/>
        <v>0</v>
      </c>
    </row>
    <row r="34" spans="2:27" x14ac:dyDescent="0.3">
      <c r="B34" s="36" t="s">
        <v>56</v>
      </c>
      <c r="C34" s="28"/>
      <c r="D34" s="87">
        <f ca="1">SUMIFS(OFFSET('Unit Summary - Rent Roll'!$H$26,1,0):OFFSET('Unit Summary - Rent Roll'!$H$327,-1,0),OFFSET('Unit Summary - Rent Roll'!$K$26,1,0):OFFSET('Unit Summary - Rent Roll'!$K$327,-1,0),"PSH")</f>
        <v>0</v>
      </c>
      <c r="F34" s="260" t="s">
        <v>57</v>
      </c>
      <c r="G34" s="261"/>
      <c r="H34" s="262"/>
      <c r="I34" s="262"/>
      <c r="J34" s="263"/>
      <c r="L34" s="427">
        <v>0.7</v>
      </c>
      <c r="M34" s="420" t="str">
        <f>IF(SUMIFS('Unit Summary - Rent Roll'!$H$27:$H$326,'Unit Summary - Rent Roll'!$E$27:$E$326,Overview!M$22,'Unit Summary - Rent Roll'!$K$27:$K$326,Overview!$L34)=0,"",SUMIFS('Unit Summary - Rent Roll'!$H$27:$H$326,'Unit Summary - Rent Roll'!$E$27:$E$326,Overview!M$22,'Unit Summary - Rent Roll'!$K$27:$K$326,Overview!$L34))</f>
        <v/>
      </c>
      <c r="N34" s="420" t="str">
        <f>IF(SUMIFS('Unit Summary - Rent Roll'!$H$27:$H$326,'Unit Summary - Rent Roll'!$E$27:$E$326,Overview!N$22,'Unit Summary - Rent Roll'!$K$27:$K$326,Overview!$L34)=0,"",SUMIFS('Unit Summary - Rent Roll'!$H$27:$H$326,'Unit Summary - Rent Roll'!$E$27:$E$326,Overview!N$22,'Unit Summary - Rent Roll'!$K$27:$K$326,Overview!$L34))</f>
        <v/>
      </c>
      <c r="O34" s="420" t="str">
        <f>IF(SUMIFS('Unit Summary - Rent Roll'!$H$27:$H$326,'Unit Summary - Rent Roll'!$E$27:$E$326,Overview!O$22,'Unit Summary - Rent Roll'!$K$27:$K$326,Overview!$L34)=0,"",SUMIFS('Unit Summary - Rent Roll'!$H$27:$H$326,'Unit Summary - Rent Roll'!$E$27:$E$326,Overview!O$22,'Unit Summary - Rent Roll'!$K$27:$K$326,Overview!$L34))</f>
        <v/>
      </c>
      <c r="P34" s="420" t="str">
        <f>IF(SUMIFS('Unit Summary - Rent Roll'!$H$27:$H$326,'Unit Summary - Rent Roll'!$E$27:$E$326,Overview!P$22,'Unit Summary - Rent Roll'!$K$27:$K$326,Overview!$L34)=0,"",SUMIFS('Unit Summary - Rent Roll'!$H$27:$H$326,'Unit Summary - Rent Roll'!$E$27:$E$326,Overview!P$22,'Unit Summary - Rent Roll'!$K$27:$K$326,Overview!$L34))</f>
        <v/>
      </c>
      <c r="Q34" s="430" t="str">
        <f>IF(SUMIFS('Unit Summary - Rent Roll'!$H$27:$H$326,'Unit Summary - Rent Roll'!$E$27:$E$326,Overview!Q$22,'Unit Summary - Rent Roll'!$K$27:$K$326,Overview!$L34)=0,"",SUMIFS('Unit Summary - Rent Roll'!$H$27:$H$326,'Unit Summary - Rent Roll'!$E$27:$E$326,Overview!Q$22,'Unit Summary - Rent Roll'!$K$27:$K$326,Overview!$L34))</f>
        <v/>
      </c>
      <c r="R34" s="428">
        <f t="shared" si="0"/>
        <v>0</v>
      </c>
    </row>
    <row r="35" spans="2:27" x14ac:dyDescent="0.3">
      <c r="B35" s="492" t="s">
        <v>58</v>
      </c>
      <c r="C35" s="28"/>
      <c r="D35" s="194">
        <v>0</v>
      </c>
      <c r="F35" s="15" t="s">
        <v>40</v>
      </c>
      <c r="H35" s="264">
        <f>IF($D$17="Standard Workforce Housing (SWHP)",'Financials- SWHP'!P48,'Financials-FTHP &amp; GAHP'!M49)</f>
        <v>0</v>
      </c>
      <c r="I35" s="264">
        <f>IFERROR(H35/$D$31,0)</f>
        <v>0</v>
      </c>
      <c r="J35" s="303">
        <f>IFERROR(H35/$H$42,0)</f>
        <v>0</v>
      </c>
      <c r="L35" s="427">
        <v>0.75</v>
      </c>
      <c r="M35" s="420" t="str">
        <f>IF(SUMIFS('Unit Summary - Rent Roll'!$H$27:$H$326,'Unit Summary - Rent Roll'!$E$27:$E$326,Overview!M$22,'Unit Summary - Rent Roll'!$K$27:$K$326,Overview!$L35)=0,"",SUMIFS('Unit Summary - Rent Roll'!$H$27:$H$326,'Unit Summary - Rent Roll'!$E$27:$E$326,Overview!M$22,'Unit Summary - Rent Roll'!$K$27:$K$326,Overview!$L35))</f>
        <v/>
      </c>
      <c r="N35" s="420" t="str">
        <f>IF(SUMIFS('Unit Summary - Rent Roll'!$H$27:$H$326,'Unit Summary - Rent Roll'!$E$27:$E$326,Overview!N$22,'Unit Summary - Rent Roll'!$K$27:$K$326,Overview!$L35)=0,"",SUMIFS('Unit Summary - Rent Roll'!$H$27:$H$326,'Unit Summary - Rent Roll'!$E$27:$E$326,Overview!N$22,'Unit Summary - Rent Roll'!$K$27:$K$326,Overview!$L35))</f>
        <v/>
      </c>
      <c r="O35" s="420" t="str">
        <f>IF(SUMIFS('Unit Summary - Rent Roll'!$H$27:$H$326,'Unit Summary - Rent Roll'!$E$27:$E$326,Overview!O$22,'Unit Summary - Rent Roll'!$K$27:$K$326,Overview!$L35)=0,"",SUMIFS('Unit Summary - Rent Roll'!$H$27:$H$326,'Unit Summary - Rent Roll'!$E$27:$E$326,Overview!O$22,'Unit Summary - Rent Roll'!$K$27:$K$326,Overview!$L35))</f>
        <v/>
      </c>
      <c r="P35" s="420" t="str">
        <f>IF(SUMIFS('Unit Summary - Rent Roll'!$H$27:$H$326,'Unit Summary - Rent Roll'!$E$27:$E$326,Overview!P$22,'Unit Summary - Rent Roll'!$K$27:$K$326,Overview!$L35)=0,"",SUMIFS('Unit Summary - Rent Roll'!$H$27:$H$326,'Unit Summary - Rent Roll'!$E$27:$E$326,Overview!P$22,'Unit Summary - Rent Roll'!$K$27:$K$326,Overview!$L35))</f>
        <v/>
      </c>
      <c r="Q35" s="430" t="str">
        <f>IF(SUMIFS('Unit Summary - Rent Roll'!$H$27:$H$326,'Unit Summary - Rent Roll'!$E$27:$E$326,Overview!Q$22,'Unit Summary - Rent Roll'!$K$27:$K$326,Overview!$L35)=0,"",SUMIFS('Unit Summary - Rent Roll'!$H$27:$H$326,'Unit Summary - Rent Roll'!$E$27:$E$326,Overview!Q$22,'Unit Summary - Rent Roll'!$K$27:$K$326,Overview!$L35))</f>
        <v/>
      </c>
      <c r="R35" s="428">
        <f>SUM(M35:Q35)</f>
        <v>0</v>
      </c>
    </row>
    <row r="36" spans="2:27" x14ac:dyDescent="0.3">
      <c r="B36" s="492" t="s">
        <v>59</v>
      </c>
      <c r="C36" s="28"/>
      <c r="D36" s="87">
        <f>'Unit Summary - Rent Roll'!$I$327</f>
        <v>0</v>
      </c>
      <c r="F36" s="15" t="s">
        <v>41</v>
      </c>
      <c r="H36" s="264">
        <f>IF($D$17="Standard Workforce Housing (SWHP)",SUM('Financials- SWHP'!P44:P45),SUM('Financials-FTHP &amp; GAHP'!M45:M46))</f>
        <v>0</v>
      </c>
      <c r="I36" s="264">
        <f t="shared" ref="I36:I42" si="3">IFERROR(H36/$D$31,0)</f>
        <v>0</v>
      </c>
      <c r="J36" s="303">
        <f t="shared" ref="J36:J42" si="4">IFERROR(H36/$H$42,0)</f>
        <v>0</v>
      </c>
      <c r="L36" s="427">
        <v>0.8</v>
      </c>
      <c r="M36" s="420" t="str">
        <f>IF(SUMIFS('Unit Summary - Rent Roll'!$H$27:$H$326,'Unit Summary - Rent Roll'!$E$27:$E$326,Overview!M$22,'Unit Summary - Rent Roll'!$K$27:$K$326,Overview!$L36)=0,"",SUMIFS('Unit Summary - Rent Roll'!$H$27:$H$326,'Unit Summary - Rent Roll'!$E$27:$E$326,Overview!M$22,'Unit Summary - Rent Roll'!$K$27:$K$326,Overview!$L36))</f>
        <v/>
      </c>
      <c r="N36" s="420" t="str">
        <f>IF(SUMIFS('Unit Summary - Rent Roll'!$H$27:$H$326,'Unit Summary - Rent Roll'!$E$27:$E$326,Overview!N$22,'Unit Summary - Rent Roll'!$K$27:$K$326,Overview!$L36)=0,"",SUMIFS('Unit Summary - Rent Roll'!$H$27:$H$326,'Unit Summary - Rent Roll'!$E$27:$E$326,Overview!N$22,'Unit Summary - Rent Roll'!$K$27:$K$326,Overview!$L36))</f>
        <v/>
      </c>
      <c r="O36" s="420" t="str">
        <f>IF(SUMIFS('Unit Summary - Rent Roll'!$H$27:$H$326,'Unit Summary - Rent Roll'!$E$27:$E$326,Overview!O$22,'Unit Summary - Rent Roll'!$K$27:$K$326,Overview!$L36)=0,"",SUMIFS('Unit Summary - Rent Roll'!$H$27:$H$326,'Unit Summary - Rent Roll'!$E$27:$E$326,Overview!O$22,'Unit Summary - Rent Roll'!$K$27:$K$326,Overview!$L36))</f>
        <v/>
      </c>
      <c r="P36" s="420" t="str">
        <f>IF(SUMIFS('Unit Summary - Rent Roll'!$H$27:$H$326,'Unit Summary - Rent Roll'!$E$27:$E$326,Overview!P$22,'Unit Summary - Rent Roll'!$K$27:$K$326,Overview!$L36)=0,"",SUMIFS('Unit Summary - Rent Roll'!$H$27:$H$326,'Unit Summary - Rent Roll'!$E$27:$E$326,Overview!P$22,'Unit Summary - Rent Roll'!$K$27:$K$326,Overview!$L36))</f>
        <v/>
      </c>
      <c r="Q36" s="417" t="str">
        <f>IF(SUMIFS('Unit Summary - Rent Roll'!$H$27:$H$326,'Unit Summary - Rent Roll'!$E$27:$E$326,Overview!Q$22,'Unit Summary - Rent Roll'!$K$27:$K$326,Overview!$L36)=0,"",SUMIFS('Unit Summary - Rent Roll'!$H$27:$H$326,'Unit Summary - Rent Roll'!$E$27:$E$326,Overview!Q$22,'Unit Summary - Rent Roll'!$K$27:$K$326,Overview!$L36))</f>
        <v/>
      </c>
      <c r="R36" s="428">
        <f t="shared" ref="R36:R44" si="5">SUM(M36:Q36)</f>
        <v>0</v>
      </c>
    </row>
    <row r="37" spans="2:27" x14ac:dyDescent="0.3">
      <c r="B37" s="36" t="s">
        <v>60</v>
      </c>
      <c r="C37" s="28"/>
      <c r="D37" s="87">
        <f ca="1">SUMIFS(OFFSET('Unit Summary - Rent Roll'!$I$26,1,0):OFFSET('Unit Summary - Rent Roll'!$I$327,-1,0),OFFSET('Unit Summary - Rent Roll'!$K$26,1,0):OFFSET('Unit Summary - Rent Roll'!$K$327,-1,0),"None - Market")</f>
        <v>0</v>
      </c>
      <c r="F37" s="15" t="s">
        <v>61</v>
      </c>
      <c r="H37" s="264">
        <f>IF($D$17="Standard Workforce Housing (SWHP)",SUM('Financials- SWHP'!P37:P40),SUM('Financials-FTHP &amp; GAHP'!M38:M41))</f>
        <v>0</v>
      </c>
      <c r="I37" s="264">
        <f t="shared" si="3"/>
        <v>0</v>
      </c>
      <c r="J37" s="303">
        <f t="shared" si="4"/>
        <v>0</v>
      </c>
      <c r="L37" s="427">
        <v>0.85</v>
      </c>
      <c r="M37" s="420" t="str">
        <f>IF(SUMIFS('Unit Summary - Rent Roll'!$H$27:$H$326,'Unit Summary - Rent Roll'!$E$27:$E$326,Overview!M$22,'Unit Summary - Rent Roll'!$K$27:$K$326,Overview!$L37)=0,"",SUMIFS('Unit Summary - Rent Roll'!$H$27:$H$326,'Unit Summary - Rent Roll'!$E$27:$E$326,Overview!M$22,'Unit Summary - Rent Roll'!$K$27:$K$326,Overview!$L37))</f>
        <v/>
      </c>
      <c r="N37" s="420" t="str">
        <f>IF(SUMIFS('Unit Summary - Rent Roll'!$H$27:$H$326,'Unit Summary - Rent Roll'!$E$27:$E$326,Overview!N$22,'Unit Summary - Rent Roll'!$K$27:$K$326,Overview!$L37)=0,"",SUMIFS('Unit Summary - Rent Roll'!$H$27:$H$326,'Unit Summary - Rent Roll'!$E$27:$E$326,Overview!N$22,'Unit Summary - Rent Roll'!$K$27:$K$326,Overview!$L37))</f>
        <v/>
      </c>
      <c r="O37" s="420" t="str">
        <f>IF(SUMIFS('Unit Summary - Rent Roll'!$H$27:$H$326,'Unit Summary - Rent Roll'!$E$27:$E$326,Overview!O$22,'Unit Summary - Rent Roll'!$K$27:$K$326,Overview!$L37)=0,"",SUMIFS('Unit Summary - Rent Roll'!$H$27:$H$326,'Unit Summary - Rent Roll'!$E$27:$E$326,Overview!O$22,'Unit Summary - Rent Roll'!$K$27:$K$326,Overview!$L37))</f>
        <v/>
      </c>
      <c r="P37" s="420" t="str">
        <f>IF(SUMIFS('Unit Summary - Rent Roll'!$H$27:$H$326,'Unit Summary - Rent Roll'!$E$27:$E$326,Overview!P$22,'Unit Summary - Rent Roll'!$K$27:$K$326,Overview!$L37)=0,"",SUMIFS('Unit Summary - Rent Roll'!$H$27:$H$326,'Unit Summary - Rent Roll'!$E$27:$E$326,Overview!P$22,'Unit Summary - Rent Roll'!$K$27:$K$326,Overview!$L37))</f>
        <v/>
      </c>
      <c r="Q37" s="417" t="str">
        <f>IF(SUMIFS('Unit Summary - Rent Roll'!$H$27:$H$326,'Unit Summary - Rent Roll'!$E$27:$E$326,Overview!Q$22,'Unit Summary - Rent Roll'!$K$27:$K$326,Overview!$L37)=0,"",SUMIFS('Unit Summary - Rent Roll'!$H$27:$H$326,'Unit Summary - Rent Roll'!$E$27:$E$326,Overview!Q$22,'Unit Summary - Rent Roll'!$K$27:$K$326,Overview!$L37))</f>
        <v/>
      </c>
      <c r="R37" s="428">
        <f t="shared" si="5"/>
        <v>0</v>
      </c>
    </row>
    <row r="38" spans="2:27" x14ac:dyDescent="0.3">
      <c r="B38" s="36" t="s">
        <v>62</v>
      </c>
      <c r="C38" s="28"/>
      <c r="D38" s="87">
        <f ca="1">SUMIFS(OFFSET('Unit Summary - Rent Roll'!$I$26,1,0):OFFSET('Unit Summary - Rent Roll'!$I$327,-1,0),OFFSET('Unit Summary - Rent Roll'!$K$26,1,0):OFFSET('Unit Summary - Rent Roll'!$K$327,-1,0),"&gt;0")</f>
        <v>0</v>
      </c>
      <c r="F38" s="15" t="s">
        <v>47</v>
      </c>
      <c r="H38" s="264">
        <f>IF($D$17="Standard Workforce Housing (SWHP)",'Financials- SWHP'!P46,'Financials-FTHP &amp; GAHP'!M47)</f>
        <v>0</v>
      </c>
      <c r="I38" s="264">
        <f t="shared" si="3"/>
        <v>0</v>
      </c>
      <c r="J38" s="303">
        <f t="shared" si="4"/>
        <v>0</v>
      </c>
      <c r="L38" s="427">
        <v>0.9</v>
      </c>
      <c r="M38" s="420" t="str">
        <f>IF(SUMIFS('Unit Summary - Rent Roll'!$H$27:$H$326,'Unit Summary - Rent Roll'!$E$27:$E$326,Overview!M$22,'Unit Summary - Rent Roll'!$K$27:$K$326,Overview!$L38)=0,"",SUMIFS('Unit Summary - Rent Roll'!$H$27:$H$326,'Unit Summary - Rent Roll'!$E$27:$E$326,Overview!M$22,'Unit Summary - Rent Roll'!$K$27:$K$326,Overview!$L38))</f>
        <v/>
      </c>
      <c r="N38" s="420" t="str">
        <f>IF(SUMIFS('Unit Summary - Rent Roll'!$H$27:$H$326,'Unit Summary - Rent Roll'!$E$27:$E$326,Overview!N$22,'Unit Summary - Rent Roll'!$K$27:$K$326,Overview!$L38)=0,"",SUMIFS('Unit Summary - Rent Roll'!$H$27:$H$326,'Unit Summary - Rent Roll'!$E$27:$E$326,Overview!N$22,'Unit Summary - Rent Roll'!$K$27:$K$326,Overview!$L38))</f>
        <v/>
      </c>
      <c r="O38" s="420" t="str">
        <f>IF(SUMIFS('Unit Summary - Rent Roll'!$H$27:$H$326,'Unit Summary - Rent Roll'!$E$27:$E$326,Overview!O$22,'Unit Summary - Rent Roll'!$K$27:$K$326,Overview!$L38)=0,"",SUMIFS('Unit Summary - Rent Roll'!$H$27:$H$326,'Unit Summary - Rent Roll'!$E$27:$E$326,Overview!O$22,'Unit Summary - Rent Roll'!$K$27:$K$326,Overview!$L38))</f>
        <v/>
      </c>
      <c r="P38" s="420" t="str">
        <f>IF(SUMIFS('Unit Summary - Rent Roll'!$H$27:$H$326,'Unit Summary - Rent Roll'!$E$27:$E$326,Overview!P$22,'Unit Summary - Rent Roll'!$K$27:$K$326,Overview!$L38)=0,"",SUMIFS('Unit Summary - Rent Roll'!$H$27:$H$326,'Unit Summary - Rent Roll'!$E$27:$E$326,Overview!P$22,'Unit Summary - Rent Roll'!$K$27:$K$326,Overview!$L38))</f>
        <v/>
      </c>
      <c r="Q38" s="417" t="str">
        <f>IF(SUMIFS('Unit Summary - Rent Roll'!$H$27:$H$326,'Unit Summary - Rent Roll'!$E$27:$E$326,Overview!Q$22,'Unit Summary - Rent Roll'!$K$27:$K$326,Overview!$L38)=0,"",SUMIFS('Unit Summary - Rent Roll'!$H$27:$H$326,'Unit Summary - Rent Roll'!$E$27:$E$326,Overview!Q$22,'Unit Summary - Rent Roll'!$K$27:$K$326,Overview!$L38))</f>
        <v/>
      </c>
      <c r="R38" s="428">
        <f t="shared" si="5"/>
        <v>0</v>
      </c>
    </row>
    <row r="39" spans="2:27" x14ac:dyDescent="0.3">
      <c r="B39" s="492" t="s">
        <v>63</v>
      </c>
      <c r="C39" s="28"/>
      <c r="D39" s="194"/>
      <c r="F39" s="15" t="s">
        <v>48</v>
      </c>
      <c r="H39" s="264">
        <f>IF($D$17="Standard Workforce Housing (SWHP)",SUM('Financials- SWHP'!P41:P43),SUM('Financials-FTHP &amp; GAHP'!M42:M44))</f>
        <v>0</v>
      </c>
      <c r="I39" s="264">
        <f t="shared" si="3"/>
        <v>0</v>
      </c>
      <c r="J39" s="303">
        <f t="shared" si="4"/>
        <v>0</v>
      </c>
      <c r="L39" s="427">
        <v>0.95</v>
      </c>
      <c r="M39" s="420" t="str">
        <f>IF(SUMIFS('Unit Summary - Rent Roll'!$H$27:$H$326,'Unit Summary - Rent Roll'!$E$27:$E$326,Overview!M$22,'Unit Summary - Rent Roll'!$K$27:$K$326,Overview!$L39)=0,"",SUMIFS('Unit Summary - Rent Roll'!$H$27:$H$326,'Unit Summary - Rent Roll'!$E$27:$E$326,Overview!M$22,'Unit Summary - Rent Roll'!$K$27:$K$326,Overview!$L39))</f>
        <v/>
      </c>
      <c r="N39" s="420" t="str">
        <f>IF(SUMIFS('Unit Summary - Rent Roll'!$H$27:$H$326,'Unit Summary - Rent Roll'!$E$27:$E$326,Overview!N$22,'Unit Summary - Rent Roll'!$K$27:$K$326,Overview!$L39)=0,"",SUMIFS('Unit Summary - Rent Roll'!$H$27:$H$326,'Unit Summary - Rent Roll'!$E$27:$E$326,Overview!N$22,'Unit Summary - Rent Roll'!$K$27:$K$326,Overview!$L39))</f>
        <v/>
      </c>
      <c r="O39" s="420" t="str">
        <f>IF(SUMIFS('Unit Summary - Rent Roll'!$H$27:$H$326,'Unit Summary - Rent Roll'!$E$27:$E$326,Overview!O$22,'Unit Summary - Rent Roll'!$K$27:$K$326,Overview!$L39)=0,"",SUMIFS('Unit Summary - Rent Roll'!$H$27:$H$326,'Unit Summary - Rent Roll'!$E$27:$E$326,Overview!O$22,'Unit Summary - Rent Roll'!$K$27:$K$326,Overview!$L39))</f>
        <v/>
      </c>
      <c r="P39" s="420" t="str">
        <f>IF(SUMIFS('Unit Summary - Rent Roll'!$H$27:$H$326,'Unit Summary - Rent Roll'!$E$27:$E$326,Overview!P$22,'Unit Summary - Rent Roll'!$K$27:$K$326,Overview!$L39)=0,"",SUMIFS('Unit Summary - Rent Roll'!$H$27:$H$326,'Unit Summary - Rent Roll'!$E$27:$E$326,Overview!P$22,'Unit Summary - Rent Roll'!$K$27:$K$326,Overview!$L39))</f>
        <v/>
      </c>
      <c r="Q39" s="417" t="str">
        <f>IF(SUMIFS('Unit Summary - Rent Roll'!$H$27:$H$326,'Unit Summary - Rent Roll'!$E$27:$E$326,Overview!Q$22,'Unit Summary - Rent Roll'!$K$27:$K$326,Overview!$L39)=0,"",SUMIFS('Unit Summary - Rent Roll'!$H$27:$H$326,'Unit Summary - Rent Roll'!$E$27:$E$326,Overview!Q$22,'Unit Summary - Rent Roll'!$K$27:$K$326,Overview!$L39))</f>
        <v/>
      </c>
      <c r="R39" s="428">
        <f t="shared" si="5"/>
        <v>0</v>
      </c>
    </row>
    <row r="40" spans="2:27" x14ac:dyDescent="0.3">
      <c r="B40" s="492" t="s">
        <v>64</v>
      </c>
      <c r="C40" s="28"/>
      <c r="D40" s="87">
        <f>D30-D36-D39</f>
        <v>0</v>
      </c>
      <c r="F40" s="15" t="s">
        <v>50</v>
      </c>
      <c r="H40" s="264">
        <f>IF($D$17="Standard Workforce Housing (SWHP)",SUM('Financials- SWHP'!P47,'Financials- SWHP'!P50:P51),SUM('Financials-FTHP &amp; GAHP'!M48,'Financials-FTHP &amp; GAHP'!M51:M52))</f>
        <v>0</v>
      </c>
      <c r="I40" s="264">
        <f t="shared" si="3"/>
        <v>0</v>
      </c>
      <c r="J40" s="303">
        <f t="shared" si="4"/>
        <v>0</v>
      </c>
      <c r="L40" s="427">
        <v>1</v>
      </c>
      <c r="M40" s="420" t="str">
        <f>IF(SUMIFS('Unit Summary - Rent Roll'!$H$27:$H$326,'Unit Summary - Rent Roll'!$E$27:$E$326,Overview!M$22,'Unit Summary - Rent Roll'!$K$27:$K$326,Overview!$L40)=0,"",SUMIFS('Unit Summary - Rent Roll'!$H$27:$H$326,'Unit Summary - Rent Roll'!$E$27:$E$326,Overview!M$22,'Unit Summary - Rent Roll'!$K$27:$K$326,Overview!$L40))</f>
        <v/>
      </c>
      <c r="N40" s="420" t="str">
        <f>IF(SUMIFS('Unit Summary - Rent Roll'!$H$27:$H$326,'Unit Summary - Rent Roll'!$E$27:$E$326,Overview!N$22,'Unit Summary - Rent Roll'!$K$27:$K$326,Overview!$L40)=0,"",SUMIFS('Unit Summary - Rent Roll'!$H$27:$H$326,'Unit Summary - Rent Roll'!$E$27:$E$326,Overview!N$22,'Unit Summary - Rent Roll'!$K$27:$K$326,Overview!$L40))</f>
        <v/>
      </c>
      <c r="O40" s="420" t="str">
        <f>IF(SUMIFS('Unit Summary - Rent Roll'!$H$27:$H$326,'Unit Summary - Rent Roll'!$E$27:$E$326,Overview!O$22,'Unit Summary - Rent Roll'!$K$27:$K$326,Overview!$L40)=0,"",SUMIFS('Unit Summary - Rent Roll'!$H$27:$H$326,'Unit Summary - Rent Roll'!$E$27:$E$326,Overview!O$22,'Unit Summary - Rent Roll'!$K$27:$K$326,Overview!$L40))</f>
        <v/>
      </c>
      <c r="P40" s="420" t="str">
        <f>IF(SUMIFS('Unit Summary - Rent Roll'!$H$27:$H$326,'Unit Summary - Rent Roll'!$E$27:$E$326,Overview!P$22,'Unit Summary - Rent Roll'!$K$27:$K$326,Overview!$L40)=0,"",SUMIFS('Unit Summary - Rent Roll'!$H$27:$H$326,'Unit Summary - Rent Roll'!$E$27:$E$326,Overview!P$22,'Unit Summary - Rent Roll'!$K$27:$K$326,Overview!$L40))</f>
        <v/>
      </c>
      <c r="Q40" s="417" t="str">
        <f>IF(SUMIFS('Unit Summary - Rent Roll'!$H$27:$H$326,'Unit Summary - Rent Roll'!$E$27:$E$326,Overview!Q$22,'Unit Summary - Rent Roll'!$K$27:$K$326,Overview!$L40)=0,"",SUMIFS('Unit Summary - Rent Roll'!$H$27:$H$326,'Unit Summary - Rent Roll'!$E$27:$E$326,Overview!Q$22,'Unit Summary - Rent Roll'!$K$27:$K$326,Overview!$L40))</f>
        <v/>
      </c>
      <c r="R40" s="428">
        <f t="shared" si="5"/>
        <v>0</v>
      </c>
    </row>
    <row r="41" spans="2:27" x14ac:dyDescent="0.3">
      <c r="B41" s="492" t="s">
        <v>65</v>
      </c>
      <c r="C41" s="28"/>
      <c r="D41" s="88">
        <f>'Unit Summary - Rent Roll'!G328</f>
        <v>0</v>
      </c>
      <c r="F41" s="15" t="s">
        <v>52</v>
      </c>
      <c r="H41" s="264">
        <f>IF($D$17="Standard Workforce Housing (SWHP)",'Financials- SWHP'!P49,'Financials-FTHP &amp; GAHP'!M50)</f>
        <v>0</v>
      </c>
      <c r="I41" s="264">
        <f t="shared" si="3"/>
        <v>0</v>
      </c>
      <c r="J41" s="303">
        <f t="shared" si="4"/>
        <v>0</v>
      </c>
      <c r="L41" s="427">
        <v>1.05</v>
      </c>
      <c r="M41" s="420" t="str">
        <f>IF(SUMIFS('Unit Summary - Rent Roll'!$H$27:$H$326,'Unit Summary - Rent Roll'!$E$27:$E$326,Overview!M$22,'Unit Summary - Rent Roll'!$K$27:$K$326,Overview!$L41)=0,"",SUMIFS('Unit Summary - Rent Roll'!$H$27:$H$326,'Unit Summary - Rent Roll'!$E$27:$E$326,Overview!M$22,'Unit Summary - Rent Roll'!$K$27:$K$326,Overview!$L41))</f>
        <v/>
      </c>
      <c r="N41" s="420" t="str">
        <f>IF(SUMIFS('Unit Summary - Rent Roll'!$H$27:$H$326,'Unit Summary - Rent Roll'!$E$27:$E$326,Overview!N$22,'Unit Summary - Rent Roll'!$K$27:$K$326,Overview!$L41)=0,"",SUMIFS('Unit Summary - Rent Roll'!$H$27:$H$326,'Unit Summary - Rent Roll'!$E$27:$E$326,Overview!N$22,'Unit Summary - Rent Roll'!$K$27:$K$326,Overview!$L41))</f>
        <v/>
      </c>
      <c r="O41" s="420" t="str">
        <f>IF(SUMIFS('Unit Summary - Rent Roll'!$H$27:$H$326,'Unit Summary - Rent Roll'!$E$27:$E$326,Overview!O$22,'Unit Summary - Rent Roll'!$K$27:$K$326,Overview!$L41)=0,"",SUMIFS('Unit Summary - Rent Roll'!$H$27:$H$326,'Unit Summary - Rent Roll'!$E$27:$E$326,Overview!O$22,'Unit Summary - Rent Roll'!$K$27:$K$326,Overview!$L41))</f>
        <v/>
      </c>
      <c r="P41" s="420" t="str">
        <f>IF(SUMIFS('Unit Summary - Rent Roll'!$H$27:$H$326,'Unit Summary - Rent Roll'!$E$27:$E$326,Overview!P$22,'Unit Summary - Rent Roll'!$K$27:$K$326,Overview!$L41)=0,"",SUMIFS('Unit Summary - Rent Roll'!$H$27:$H$326,'Unit Summary - Rent Roll'!$E$27:$E$326,Overview!P$22,'Unit Summary - Rent Roll'!$K$27:$K$326,Overview!$L41))</f>
        <v/>
      </c>
      <c r="Q41" s="417" t="str">
        <f>IF(SUMIFS('Unit Summary - Rent Roll'!$H$27:$H$326,'Unit Summary - Rent Roll'!$E$27:$E$326,Overview!Q$22,'Unit Summary - Rent Roll'!$K$27:$K$326,Overview!$L41)=0,"",SUMIFS('Unit Summary - Rent Roll'!$H$27:$H$326,'Unit Summary - Rent Roll'!$E$27:$E$326,Overview!Q$22,'Unit Summary - Rent Roll'!$K$27:$K$326,Overview!$L41))</f>
        <v/>
      </c>
      <c r="R41" s="428">
        <f t="shared" si="5"/>
        <v>0</v>
      </c>
    </row>
    <row r="42" spans="2:27" x14ac:dyDescent="0.3">
      <c r="B42" s="492" t="s">
        <v>66</v>
      </c>
      <c r="C42" s="28"/>
      <c r="D42" s="345" t="str">
        <f ca="1">'Unit Summary - Rent Roll'!K327</f>
        <v>NA</v>
      </c>
      <c r="F42" s="171" t="s">
        <v>67</v>
      </c>
      <c r="G42" s="172"/>
      <c r="H42" s="265">
        <f>SUM(H35:H41)</f>
        <v>0</v>
      </c>
      <c r="I42" s="265">
        <f t="shared" si="3"/>
        <v>0</v>
      </c>
      <c r="J42" s="304">
        <f t="shared" si="4"/>
        <v>0</v>
      </c>
      <c r="L42" s="427">
        <v>1.1000000000000001</v>
      </c>
      <c r="M42" s="420" t="str">
        <f>IF(SUMIFS('Unit Summary - Rent Roll'!$H$27:$H$326,'Unit Summary - Rent Roll'!$E$27:$E$326,Overview!M$22,'Unit Summary - Rent Roll'!$K$27:$K$326,Overview!$L42)=0,"",SUMIFS('Unit Summary - Rent Roll'!$H$27:$H$326,'Unit Summary - Rent Roll'!$E$27:$E$326,Overview!M$22,'Unit Summary - Rent Roll'!$K$27:$K$326,Overview!$L42))</f>
        <v/>
      </c>
      <c r="N42" s="420" t="str">
        <f>IF(SUMIFS('Unit Summary - Rent Roll'!$H$27:$H$326,'Unit Summary - Rent Roll'!$E$27:$E$326,Overview!N$22,'Unit Summary - Rent Roll'!$K$27:$K$326,Overview!$L42)=0,"",SUMIFS('Unit Summary - Rent Roll'!$H$27:$H$326,'Unit Summary - Rent Roll'!$E$27:$E$326,Overview!N$22,'Unit Summary - Rent Roll'!$K$27:$K$326,Overview!$L42))</f>
        <v/>
      </c>
      <c r="O42" s="420" t="str">
        <f>IF(SUMIFS('Unit Summary - Rent Roll'!$H$27:$H$326,'Unit Summary - Rent Roll'!$E$27:$E$326,Overview!O$22,'Unit Summary - Rent Roll'!$K$27:$K$326,Overview!$L42)=0,"",SUMIFS('Unit Summary - Rent Roll'!$H$27:$H$326,'Unit Summary - Rent Roll'!$E$27:$E$326,Overview!O$22,'Unit Summary - Rent Roll'!$K$27:$K$326,Overview!$L42))</f>
        <v/>
      </c>
      <c r="P42" s="420" t="str">
        <f>IF(SUMIFS('Unit Summary - Rent Roll'!$H$27:$H$326,'Unit Summary - Rent Roll'!$E$27:$E$326,Overview!P$22,'Unit Summary - Rent Roll'!$K$27:$K$326,Overview!$L42)=0,"",SUMIFS('Unit Summary - Rent Roll'!$H$27:$H$326,'Unit Summary - Rent Roll'!$E$27:$E$326,Overview!P$22,'Unit Summary - Rent Roll'!$K$27:$K$326,Overview!$L42))</f>
        <v/>
      </c>
      <c r="Q42" s="417" t="str">
        <f>IF(SUMIFS('Unit Summary - Rent Roll'!$H$27:$H$326,'Unit Summary - Rent Roll'!$E$27:$E$326,Overview!Q$22,'Unit Summary - Rent Roll'!$K$27:$K$326,Overview!$L42)=0,"",SUMIFS('Unit Summary - Rent Roll'!$H$27:$H$326,'Unit Summary - Rent Roll'!$E$27:$E$326,Overview!Q$22,'Unit Summary - Rent Roll'!$K$27:$K$326,Overview!$L42))</f>
        <v/>
      </c>
      <c r="R42" s="428">
        <f t="shared" si="5"/>
        <v>0</v>
      </c>
    </row>
    <row r="43" spans="2:27" ht="14.4" x14ac:dyDescent="0.3">
      <c r="B43" s="492" t="s">
        <v>68</v>
      </c>
      <c r="C43" s="28"/>
      <c r="D43" s="346" t="str">
        <f ca="1">'Unit Summary - Rent Roll'!K328</f>
        <v>NA</v>
      </c>
      <c r="F43" s="253"/>
      <c r="H43" s="254" t="b">
        <f>IF(H42=H48,TRUE,FALSE)</f>
        <v>1</v>
      </c>
      <c r="I43" s="254"/>
      <c r="J43" s="16"/>
      <c r="L43" s="427">
        <v>1.1499999999999999</v>
      </c>
      <c r="M43" s="420" t="str">
        <f>IF(SUMIFS('Unit Summary - Rent Roll'!$H$27:$H$326,'Unit Summary - Rent Roll'!$E$27:$E$326,Overview!M$22,'Unit Summary - Rent Roll'!$K$27:$K$326,Overview!$L43)=0,"",SUMIFS('Unit Summary - Rent Roll'!$H$27:$H$326,'Unit Summary - Rent Roll'!$E$27:$E$326,Overview!M$22,'Unit Summary - Rent Roll'!$K$27:$K$326,Overview!$L43))</f>
        <v/>
      </c>
      <c r="N43" s="420" t="str">
        <f>IF(SUMIFS('Unit Summary - Rent Roll'!$H$27:$H$326,'Unit Summary - Rent Roll'!$E$27:$E$326,Overview!N$22,'Unit Summary - Rent Roll'!$K$27:$K$326,Overview!$L43)=0,"",SUMIFS('Unit Summary - Rent Roll'!$H$27:$H$326,'Unit Summary - Rent Roll'!$E$27:$E$326,Overview!N$22,'Unit Summary - Rent Roll'!$K$27:$K$326,Overview!$L43))</f>
        <v/>
      </c>
      <c r="O43" s="420" t="str">
        <f>IF(SUMIFS('Unit Summary - Rent Roll'!$H$27:$H$326,'Unit Summary - Rent Roll'!$E$27:$E$326,Overview!O$22,'Unit Summary - Rent Roll'!$K$27:$K$326,Overview!$L43)=0,"",SUMIFS('Unit Summary - Rent Roll'!$H$27:$H$326,'Unit Summary - Rent Roll'!$E$27:$E$326,Overview!O$22,'Unit Summary - Rent Roll'!$K$27:$K$326,Overview!$L43))</f>
        <v/>
      </c>
      <c r="P43" s="420" t="str">
        <f>IF(SUMIFS('Unit Summary - Rent Roll'!$H$27:$H$326,'Unit Summary - Rent Roll'!$E$27:$E$326,Overview!P$22,'Unit Summary - Rent Roll'!$K$27:$K$326,Overview!$L43)=0,"",SUMIFS('Unit Summary - Rent Roll'!$H$27:$H$326,'Unit Summary - Rent Roll'!$E$27:$E$326,Overview!P$22,'Unit Summary - Rent Roll'!$K$27:$K$326,Overview!$L43))</f>
        <v/>
      </c>
      <c r="Q43" s="417" t="str">
        <f>IF(SUMIFS('Unit Summary - Rent Roll'!$H$27:$H$326,'Unit Summary - Rent Roll'!$E$27:$E$326,Overview!Q$22,'Unit Summary - Rent Roll'!$K$27:$K$326,Overview!$L43)=0,"",SUMIFS('Unit Summary - Rent Roll'!$H$27:$H$326,'Unit Summary - Rent Roll'!$E$27:$E$326,Overview!Q$22,'Unit Summary - Rent Roll'!$K$27:$K$326,Overview!$L43))</f>
        <v/>
      </c>
      <c r="R43" s="428">
        <f t="shared" si="5"/>
        <v>0</v>
      </c>
      <c r="T43"/>
      <c r="U43"/>
    </row>
    <row r="44" spans="2:27" ht="14.4" x14ac:dyDescent="0.3">
      <c r="B44" s="25"/>
      <c r="C44" s="30"/>
      <c r="D44" s="31"/>
      <c r="F44" s="260" t="s">
        <v>69</v>
      </c>
      <c r="G44" s="261"/>
      <c r="H44" s="262"/>
      <c r="I44" s="262"/>
      <c r="J44" s="263"/>
      <c r="L44" s="427">
        <v>1.2</v>
      </c>
      <c r="M44" s="420" t="str">
        <f>IF(SUMIFS('Unit Summary - Rent Roll'!$H$27:$H$326,'Unit Summary - Rent Roll'!$E$27:$E$326,Overview!M$22,'Unit Summary - Rent Roll'!$K$27:$K$326,Overview!$L44)=0,"",SUMIFS('Unit Summary - Rent Roll'!$H$27:$H$326,'Unit Summary - Rent Roll'!$E$27:$E$326,Overview!M$22,'Unit Summary - Rent Roll'!$K$27:$K$326,Overview!$L44))</f>
        <v/>
      </c>
      <c r="N44" s="420" t="str">
        <f>IF(SUMIFS('Unit Summary - Rent Roll'!$H$27:$H$326,'Unit Summary - Rent Roll'!$E$27:$E$326,Overview!N$22,'Unit Summary - Rent Roll'!$K$27:$K$326,Overview!$L44)=0,"",SUMIFS('Unit Summary - Rent Roll'!$H$27:$H$326,'Unit Summary - Rent Roll'!$E$27:$E$326,Overview!N$22,'Unit Summary - Rent Roll'!$K$27:$K$326,Overview!$L44))</f>
        <v/>
      </c>
      <c r="O44" s="420" t="str">
        <f>IF(SUMIFS('Unit Summary - Rent Roll'!$H$27:$H$326,'Unit Summary - Rent Roll'!$E$27:$E$326,Overview!O$22,'Unit Summary - Rent Roll'!$K$27:$K$326,Overview!$L44)=0,"",SUMIFS('Unit Summary - Rent Roll'!$H$27:$H$326,'Unit Summary - Rent Roll'!$E$27:$E$326,Overview!O$22,'Unit Summary - Rent Roll'!$K$27:$K$326,Overview!$L44))</f>
        <v/>
      </c>
      <c r="P44" s="420" t="str">
        <f>IF(SUMIFS('Unit Summary - Rent Roll'!$H$27:$H$326,'Unit Summary - Rent Roll'!$E$27:$E$326,Overview!P$22,'Unit Summary - Rent Roll'!$K$27:$K$326,Overview!$L44)=0,"",SUMIFS('Unit Summary - Rent Roll'!$H$27:$H$326,'Unit Summary - Rent Roll'!$E$27:$E$326,Overview!P$22,'Unit Summary - Rent Roll'!$K$27:$K$326,Overview!$L44))</f>
        <v/>
      </c>
      <c r="Q44" s="417" t="str">
        <f>IF(SUMIFS('Unit Summary - Rent Roll'!$H$27:$H$326,'Unit Summary - Rent Roll'!$E$27:$E$326,Overview!Q$22,'Unit Summary - Rent Roll'!$K$27:$K$326,Overview!$L44)=0,"",SUMIFS('Unit Summary - Rent Roll'!$H$27:$H$326,'Unit Summary - Rent Roll'!$E$27:$E$326,Overview!Q$22,'Unit Summary - Rent Roll'!$K$27:$K$326,Overview!$L44))</f>
        <v/>
      </c>
      <c r="R44" s="428">
        <f t="shared" si="5"/>
        <v>0</v>
      </c>
      <c r="T44"/>
      <c r="U44"/>
    </row>
    <row r="45" spans="2:27" x14ac:dyDescent="0.3">
      <c r="F45" s="15" t="s">
        <v>70</v>
      </c>
      <c r="H45" s="264">
        <f>IF($D$17="Standard Workforce Housing (SWHP)",'Financials- SWHP'!P55,'Financials-FTHP &amp; GAHP'!M56)</f>
        <v>0</v>
      </c>
      <c r="I45" s="264">
        <f>IFERROR(H45/$D$31,0)</f>
        <v>0</v>
      </c>
      <c r="J45" s="303">
        <f>IFERROR(H45/$H$48,0)</f>
        <v>0</v>
      </c>
      <c r="L45" s="427" t="s">
        <v>71</v>
      </c>
      <c r="M45" s="420" t="str">
        <f>IF(SUMIFS('Unit Summary - Rent Roll'!$H$27:$H$326,'Unit Summary - Rent Roll'!$E$27:$E$326,Overview!M$22,'Unit Summary - Rent Roll'!$K$27:$K$326,Overview!$L45)=0,"",SUMIFS('Unit Summary - Rent Roll'!$H$27:$H$326,'Unit Summary - Rent Roll'!$E$27:$E$326,Overview!M$22,'Unit Summary - Rent Roll'!$K$27:$K$326,Overview!$L45))</f>
        <v/>
      </c>
      <c r="N45" s="420" t="str">
        <f>IF(SUMIFS('Unit Summary - Rent Roll'!$H$27:$H$326,'Unit Summary - Rent Roll'!$E$27:$E$326,Overview!N$22,'Unit Summary - Rent Roll'!$K$27:$K$326,Overview!$L45)=0,"",SUMIFS('Unit Summary - Rent Roll'!$H$27:$H$326,'Unit Summary - Rent Roll'!$E$27:$E$326,Overview!N$22,'Unit Summary - Rent Roll'!$K$27:$K$326,Overview!$L45))</f>
        <v/>
      </c>
      <c r="O45" s="420" t="str">
        <f>IF(SUMIFS('Unit Summary - Rent Roll'!$H$27:$H$326,'Unit Summary - Rent Roll'!$E$27:$E$326,Overview!O$22,'Unit Summary - Rent Roll'!$K$27:$K$326,Overview!$L45)=0,"",SUMIFS('Unit Summary - Rent Roll'!$H$27:$H$326,'Unit Summary - Rent Roll'!$E$27:$E$326,Overview!O$22,'Unit Summary - Rent Roll'!$K$27:$K$326,Overview!$L45))</f>
        <v/>
      </c>
      <c r="P45" s="420" t="str">
        <f>IF(SUMIFS('Unit Summary - Rent Roll'!$H$27:$H$326,'Unit Summary - Rent Roll'!$E$27:$E$326,Overview!P$22,'Unit Summary - Rent Roll'!$K$27:$K$326,Overview!$L45)=0,"",SUMIFS('Unit Summary - Rent Roll'!$H$27:$H$326,'Unit Summary - Rent Roll'!$E$27:$E$326,Overview!P$22,'Unit Summary - Rent Roll'!$K$27:$K$326,Overview!$L45))</f>
        <v/>
      </c>
      <c r="Q45" s="417" t="str">
        <f>IF(SUMIFS('Unit Summary - Rent Roll'!$H$27:$H$326,'Unit Summary - Rent Roll'!$E$27:$E$326,Overview!Q$22,'Unit Summary - Rent Roll'!$K$27:$K$326,Overview!$L45)=0,"",SUMIFS('Unit Summary - Rent Roll'!$H$27:$H$326,'Unit Summary - Rent Roll'!$E$27:$E$326,Overview!Q$22,'Unit Summary - Rent Roll'!$K$27:$K$326,Overview!$L45))</f>
        <v/>
      </c>
      <c r="R45" s="428">
        <f>SUM(M45:Q45)</f>
        <v>0</v>
      </c>
    </row>
    <row r="46" spans="2:27" x14ac:dyDescent="0.3">
      <c r="F46" s="15" t="s">
        <v>72</v>
      </c>
      <c r="H46" s="264">
        <f>IF($D$17="Standard Workforce Housing (SWHP)",'Financials- SWHP'!P56,'Financials-FTHP &amp; GAHP'!M57)</f>
        <v>0</v>
      </c>
      <c r="I46" s="264">
        <f>IFERROR(H46/$D$31,0)</f>
        <v>0</v>
      </c>
      <c r="J46" s="303">
        <f>IFERROR(H46/$H$48,0)</f>
        <v>0</v>
      </c>
      <c r="L46" s="547" t="s">
        <v>35</v>
      </c>
      <c r="M46" s="429">
        <f t="shared" ref="M46:R46" si="6">SUM(M23:M45)</f>
        <v>0</v>
      </c>
      <c r="N46" s="429">
        <f t="shared" si="6"/>
        <v>0</v>
      </c>
      <c r="O46" s="429">
        <f t="shared" si="6"/>
        <v>0</v>
      </c>
      <c r="P46" s="429">
        <f t="shared" si="6"/>
        <v>0</v>
      </c>
      <c r="Q46" s="429">
        <f t="shared" si="6"/>
        <v>0</v>
      </c>
      <c r="R46" s="548">
        <f t="shared" si="6"/>
        <v>0</v>
      </c>
    </row>
    <row r="47" spans="2:27" x14ac:dyDescent="0.3">
      <c r="F47" s="15" t="s">
        <v>73</v>
      </c>
      <c r="H47" s="264">
        <f>IF($D$17="Standard Workforce Housing (SWHP)",'Financials- SWHP'!P57,'Financials-FTHP &amp; GAHP'!M58)</f>
        <v>0</v>
      </c>
      <c r="I47" s="264">
        <f>IFERROR(H47/$D$31,0)</f>
        <v>0</v>
      </c>
      <c r="J47" s="303">
        <f>IFERROR(H47/$H$48,0)</f>
        <v>0</v>
      </c>
    </row>
    <row r="48" spans="2:27" x14ac:dyDescent="0.3">
      <c r="F48" s="171" t="s">
        <v>74</v>
      </c>
      <c r="G48" s="172"/>
      <c r="H48" s="265">
        <f>SUM(H45:H47)</f>
        <v>0</v>
      </c>
      <c r="I48" s="265">
        <f>IFERROR(H48/$D$31,0)</f>
        <v>0</v>
      </c>
      <c r="J48" s="304">
        <f>IFERROR(H48/$H$48,0)</f>
        <v>0</v>
      </c>
      <c r="L48" s="6" t="s">
        <v>75</v>
      </c>
      <c r="M48" s="9"/>
      <c r="N48" s="9"/>
      <c r="O48" s="9"/>
      <c r="P48" s="9"/>
      <c r="Q48" s="9"/>
      <c r="R48" s="9"/>
      <c r="S48" s="9"/>
      <c r="T48" s="9"/>
      <c r="U48" s="9"/>
      <c r="V48" s="9"/>
      <c r="W48" s="9"/>
      <c r="X48" s="9"/>
      <c r="Y48" s="9"/>
      <c r="Z48" s="9"/>
      <c r="AA48" s="75"/>
    </row>
    <row r="49" spans="6:27" x14ac:dyDescent="0.3">
      <c r="F49" s="255"/>
      <c r="G49" s="170"/>
      <c r="H49" s="20"/>
      <c r="I49" s="20"/>
      <c r="J49" s="18"/>
      <c r="L49" s="337"/>
      <c r="M49" s="338">
        <v>1</v>
      </c>
      <c r="N49" s="338">
        <f>M49+1</f>
        <v>2</v>
      </c>
      <c r="O49" s="338">
        <f t="shared" ref="O49:AA49" si="7">N49+1</f>
        <v>3</v>
      </c>
      <c r="P49" s="338">
        <f t="shared" si="7"/>
        <v>4</v>
      </c>
      <c r="Q49" s="338">
        <f t="shared" si="7"/>
        <v>5</v>
      </c>
      <c r="R49" s="338">
        <f t="shared" si="7"/>
        <v>6</v>
      </c>
      <c r="S49" s="338">
        <f>R49+1</f>
        <v>7</v>
      </c>
      <c r="T49" s="338">
        <f t="shared" si="7"/>
        <v>8</v>
      </c>
      <c r="U49" s="338">
        <f t="shared" si="7"/>
        <v>9</v>
      </c>
      <c r="V49" s="338">
        <f t="shared" si="7"/>
        <v>10</v>
      </c>
      <c r="W49" s="338">
        <f t="shared" si="7"/>
        <v>11</v>
      </c>
      <c r="X49" s="338">
        <f t="shared" si="7"/>
        <v>12</v>
      </c>
      <c r="Y49" s="338">
        <f t="shared" si="7"/>
        <v>13</v>
      </c>
      <c r="Z49" s="338">
        <f t="shared" si="7"/>
        <v>14</v>
      </c>
      <c r="AA49" s="338">
        <f t="shared" si="7"/>
        <v>15</v>
      </c>
    </row>
    <row r="50" spans="6:27" x14ac:dyDescent="0.3">
      <c r="L50" s="336" t="s">
        <v>76</v>
      </c>
      <c r="M50" s="339"/>
      <c r="N50" s="342">
        <v>0.02</v>
      </c>
      <c r="O50" s="342">
        <f>N50</f>
        <v>0.02</v>
      </c>
      <c r="P50" s="342">
        <v>0.02</v>
      </c>
      <c r="Q50" s="342">
        <v>0.02</v>
      </c>
      <c r="R50" s="342">
        <v>0.02</v>
      </c>
      <c r="S50" s="342">
        <v>0.02</v>
      </c>
      <c r="T50" s="342">
        <v>0.02</v>
      </c>
      <c r="U50" s="342">
        <v>0.02</v>
      </c>
      <c r="V50" s="342">
        <v>0.02</v>
      </c>
      <c r="W50" s="342">
        <v>0.02</v>
      </c>
      <c r="X50" s="342">
        <v>0.02</v>
      </c>
      <c r="Y50" s="342">
        <v>0.02</v>
      </c>
      <c r="Z50" s="342">
        <v>0.02</v>
      </c>
      <c r="AA50" s="343">
        <v>0.02</v>
      </c>
    </row>
    <row r="51" spans="6:27" x14ac:dyDescent="0.3">
      <c r="L51" s="336" t="s">
        <v>77</v>
      </c>
      <c r="M51" s="340">
        <f ca="1">'Unit Summary - Rent Roll'!AB327</f>
        <v>0</v>
      </c>
      <c r="N51" s="340">
        <f ca="1">M51*(1+N50)</f>
        <v>0</v>
      </c>
      <c r="O51" s="340">
        <f t="shared" ref="O51:AA51" ca="1" si="8">N51*(1+O50)</f>
        <v>0</v>
      </c>
      <c r="P51" s="340">
        <f t="shared" ca="1" si="8"/>
        <v>0</v>
      </c>
      <c r="Q51" s="340">
        <f t="shared" ca="1" si="8"/>
        <v>0</v>
      </c>
      <c r="R51" s="340">
        <f t="shared" ca="1" si="8"/>
        <v>0</v>
      </c>
      <c r="S51" s="340">
        <f ca="1">R51*(1+S50)</f>
        <v>0</v>
      </c>
      <c r="T51" s="340">
        <f t="shared" ca="1" si="8"/>
        <v>0</v>
      </c>
      <c r="U51" s="340">
        <f t="shared" ca="1" si="8"/>
        <v>0</v>
      </c>
      <c r="V51" s="340">
        <f t="shared" ca="1" si="8"/>
        <v>0</v>
      </c>
      <c r="W51" s="340">
        <f t="shared" ca="1" si="8"/>
        <v>0</v>
      </c>
      <c r="X51" s="340">
        <f t="shared" ca="1" si="8"/>
        <v>0</v>
      </c>
      <c r="Y51" s="340">
        <f t="shared" ca="1" si="8"/>
        <v>0</v>
      </c>
      <c r="Z51" s="340">
        <f t="shared" ca="1" si="8"/>
        <v>0</v>
      </c>
      <c r="AA51" s="341">
        <f t="shared" ca="1" si="8"/>
        <v>0</v>
      </c>
    </row>
    <row r="56" spans="6:27" ht="14.4" x14ac:dyDescent="0.3">
      <c r="L56"/>
    </row>
    <row r="57" spans="6:27" ht="14.4" x14ac:dyDescent="0.3">
      <c r="L57"/>
    </row>
    <row r="58" spans="6:27" ht="14.4" x14ac:dyDescent="0.3">
      <c r="L58"/>
    </row>
    <row r="59" spans="6:27" ht="14.4" x14ac:dyDescent="0.3">
      <c r="L59"/>
    </row>
    <row r="60" spans="6:27" ht="14.4" x14ac:dyDescent="0.3">
      <c r="L60"/>
    </row>
    <row r="61" spans="6:27" ht="14.4" x14ac:dyDescent="0.3">
      <c r="L61"/>
    </row>
    <row r="62" spans="6:27" ht="14.4" x14ac:dyDescent="0.3">
      <c r="L62"/>
    </row>
    <row r="63" spans="6:27" ht="14.4" x14ac:dyDescent="0.3">
      <c r="L63"/>
    </row>
    <row r="64" spans="6:27" ht="14.4" x14ac:dyDescent="0.3">
      <c r="L64"/>
    </row>
    <row r="65" spans="12:12" ht="14.4" x14ac:dyDescent="0.3">
      <c r="L65"/>
    </row>
    <row r="66" spans="12:12" ht="14.4" x14ac:dyDescent="0.3">
      <c r="L66"/>
    </row>
    <row r="67" spans="12:12" ht="14.4" x14ac:dyDescent="0.3">
      <c r="L67"/>
    </row>
    <row r="68" spans="12:12" ht="14.4" x14ac:dyDescent="0.3">
      <c r="L68"/>
    </row>
    <row r="69" spans="12:12" ht="14.4" x14ac:dyDescent="0.3">
      <c r="L69"/>
    </row>
    <row r="70" spans="12:12" ht="14.4" x14ac:dyDescent="0.3">
      <c r="L70"/>
    </row>
    <row r="71" spans="12:12" ht="14.4" x14ac:dyDescent="0.3">
      <c r="L71"/>
    </row>
    <row r="72" spans="12:12" ht="14.4" x14ac:dyDescent="0.3">
      <c r="L72"/>
    </row>
    <row r="73" spans="12:12" ht="14.4" x14ac:dyDescent="0.3">
      <c r="L73"/>
    </row>
    <row r="74" spans="12:12" ht="14.4" x14ac:dyDescent="0.3">
      <c r="L74"/>
    </row>
    <row r="75" spans="12:12" ht="14.4" x14ac:dyDescent="0.3">
      <c r="L75"/>
    </row>
    <row r="76" spans="12:12" ht="14.4" x14ac:dyDescent="0.3">
      <c r="L76"/>
    </row>
  </sheetData>
  <sheetProtection sheet="1" objects="1" scenarios="1"/>
  <protectedRanges>
    <protectedRange sqref="D23:D24 D26:D27 D30 D39 D35 T44 D12:D16 L36:L45" name="Overview"/>
  </protectedRanges>
  <mergeCells count="7">
    <mergeCell ref="H12:H14"/>
    <mergeCell ref="I12:I14"/>
    <mergeCell ref="G11:I11"/>
    <mergeCell ref="B4:H6"/>
    <mergeCell ref="B22:C22"/>
    <mergeCell ref="F22:G22"/>
    <mergeCell ref="G12:G1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EA789B5-193E-4689-9261-8BE7E05939ED}">
          <x14:formula1>
            <xm:f>List!$AC$5:$AC$7</xm:f>
          </x14:formula1>
          <xm:sqref>D13</xm:sqref>
        </x14:dataValidation>
        <x14:dataValidation type="list" allowBlank="1" showInputMessage="1" showErrorMessage="1" xr:uid="{CD1AE751-BE86-4D01-98DB-D2CB96C703EB}">
          <x14:formula1>
            <xm:f>List!$W$5:$W$7</xm:f>
          </x14:formula1>
          <xm:sqref>D15</xm:sqref>
        </x14:dataValidation>
        <x14:dataValidation type="list" allowBlank="1" showInputMessage="1" showErrorMessage="1" xr:uid="{7F486651-AFBD-409A-B5AB-FEBA6E9690BB}">
          <x14:formula1>
            <xm:f>List!$AA$5:$AA$6</xm:f>
          </x14:formula1>
          <xm:sqref>D14:E14</xm:sqref>
        </x14:dataValidation>
        <x14:dataValidation type="list" allowBlank="1" showInputMessage="1" showErrorMessage="1" xr:uid="{B3A66E35-2AD9-4157-8973-EB285C42C28B}">
          <x14:formula1>
            <xm:f>List!$AI$5:$AI$8</xm:f>
          </x14:formula1>
          <xm:sqref>D12</xm:sqref>
        </x14:dataValidation>
        <x14:dataValidation type="list" allowBlank="1" showInputMessage="1" showErrorMessage="1" xr:uid="{22EE6F33-8C01-431B-BD10-7E109C8A2FC1}">
          <x14:formula1>
            <xm:f>List!$Y$5:$Y$7</xm:f>
          </x14:formula1>
          <xm:sqref>D16</xm:sqref>
        </x14:dataValidation>
        <x14:dataValidation type="list" allowBlank="1" showInputMessage="1" showErrorMessage="1" xr:uid="{5FA0A9F5-4641-4D94-81AA-75713584DFA7}">
          <x14:formula1>
            <xm:f>List!$D$5:$D$19</xm:f>
          </x14:formula1>
          <xm:sqref>L36:L45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DB1C-83AD-467A-A562-4E1F75F214EB}">
  <dimension ref="B1:AP336"/>
  <sheetViews>
    <sheetView showGridLines="0" topLeftCell="A108" zoomScaleNormal="100" workbookViewId="0">
      <selection activeCell="F337" sqref="F337"/>
    </sheetView>
  </sheetViews>
  <sheetFormatPr defaultColWidth="15.6640625" defaultRowHeight="12.75" customHeight="1" outlineLevelRow="1" outlineLevelCol="1" x14ac:dyDescent="0.3"/>
  <cols>
    <col min="1" max="1" width="2.6640625" style="1" customWidth="1"/>
    <col min="2" max="12" width="15.6640625" style="1" customWidth="1"/>
    <col min="13" max="20" width="15.6640625" style="1" customWidth="1" outlineLevel="1"/>
    <col min="21" max="33" width="15.6640625" style="1" customWidth="1"/>
    <col min="34" max="34" width="27.33203125" style="1" bestFit="1" customWidth="1"/>
    <col min="35" max="36" width="15.6640625" style="1"/>
    <col min="37" max="37" width="101.6640625" style="1" customWidth="1"/>
    <col min="38" max="16384" width="15.6640625" style="1"/>
  </cols>
  <sheetData>
    <row r="1" spans="2:42" s="4" customFormat="1" ht="15.6" x14ac:dyDescent="0.3">
      <c r="B1" s="4" t="s">
        <v>0</v>
      </c>
    </row>
    <row r="2" spans="2:42" s="5" customFormat="1" ht="15" customHeight="1" x14ac:dyDescent="0.3">
      <c r="B2" s="5" t="s">
        <v>78</v>
      </c>
      <c r="U2"/>
      <c r="AH2" s="1"/>
      <c r="AI2" s="1"/>
      <c r="AJ2" s="1"/>
      <c r="AK2" s="1"/>
    </row>
    <row r="3" spans="2:42" s="5" customFormat="1" ht="15" customHeight="1" x14ac:dyDescent="0.3">
      <c r="P3"/>
      <c r="Q3"/>
      <c r="R3"/>
      <c r="S3"/>
      <c r="T3"/>
      <c r="U3"/>
      <c r="AH3" s="1"/>
      <c r="AI3" s="1"/>
      <c r="AJ3" s="1"/>
      <c r="AK3" s="1"/>
    </row>
    <row r="4" spans="2:42" s="5" customFormat="1" ht="15" customHeight="1" x14ac:dyDescent="0.3">
      <c r="B4" s="596" t="s">
        <v>79</v>
      </c>
      <c r="C4" s="597"/>
      <c r="D4" s="597"/>
      <c r="E4" s="597"/>
      <c r="F4" s="597"/>
      <c r="G4" s="597"/>
      <c r="H4" s="597"/>
      <c r="I4" s="597"/>
      <c r="J4" s="597"/>
      <c r="K4" s="598"/>
      <c r="L4" s="1"/>
      <c r="P4"/>
      <c r="Q4"/>
      <c r="R4"/>
      <c r="X4" s="32" t="s">
        <v>80</v>
      </c>
      <c r="Y4" s="33"/>
      <c r="Z4" s="34"/>
      <c r="AH4" s="1"/>
      <c r="AI4" s="1"/>
      <c r="AJ4" s="1"/>
      <c r="AK4" s="1"/>
    </row>
    <row r="5" spans="2:42" s="5" customFormat="1" ht="14.4" customHeight="1" x14ac:dyDescent="0.3">
      <c r="B5" s="599"/>
      <c r="C5" s="600"/>
      <c r="D5" s="600"/>
      <c r="E5" s="600"/>
      <c r="F5" s="600"/>
      <c r="G5" s="600"/>
      <c r="H5" s="600"/>
      <c r="I5" s="600"/>
      <c r="J5" s="600"/>
      <c r="K5" s="601"/>
      <c r="L5" s="1"/>
      <c r="P5"/>
      <c r="Q5"/>
      <c r="R5"/>
      <c r="X5" s="605" t="s">
        <v>81</v>
      </c>
      <c r="Y5" s="606"/>
      <c r="Z5" s="73" t="s">
        <v>82</v>
      </c>
      <c r="AH5" s="1"/>
      <c r="AI5" s="1"/>
      <c r="AJ5" s="1"/>
      <c r="AK5" s="1"/>
    </row>
    <row r="6" spans="2:42" s="5" customFormat="1" ht="14.4" customHeight="1" x14ac:dyDescent="0.3">
      <c r="B6" s="599"/>
      <c r="C6" s="600"/>
      <c r="D6" s="600"/>
      <c r="E6" s="600"/>
      <c r="F6" s="600"/>
      <c r="G6" s="600"/>
      <c r="H6" s="600"/>
      <c r="I6" s="600"/>
      <c r="J6" s="600"/>
      <c r="K6" s="601"/>
      <c r="L6" s="1"/>
      <c r="P6"/>
      <c r="Q6"/>
      <c r="R6"/>
      <c r="X6" s="11" t="s">
        <v>83</v>
      </c>
      <c r="Y6" s="12" t="s">
        <v>84</v>
      </c>
      <c r="Z6" s="347" t="s">
        <v>85</v>
      </c>
      <c r="AH6" s="1"/>
      <c r="AI6" s="1"/>
      <c r="AJ6" s="1"/>
      <c r="AK6" s="1"/>
    </row>
    <row r="7" spans="2:42" s="5" customFormat="1" ht="14.4" customHeight="1" x14ac:dyDescent="0.3">
      <c r="B7" s="599"/>
      <c r="C7" s="600"/>
      <c r="D7" s="600"/>
      <c r="E7" s="600"/>
      <c r="F7" s="600"/>
      <c r="G7" s="600"/>
      <c r="H7" s="600"/>
      <c r="I7" s="600"/>
      <c r="J7" s="600"/>
      <c r="K7" s="601"/>
      <c r="L7" s="1"/>
      <c r="P7"/>
      <c r="Q7"/>
      <c r="R7"/>
      <c r="X7" s="13"/>
      <c r="Y7" s="14" t="s">
        <v>86</v>
      </c>
      <c r="Z7" s="348" t="s">
        <v>85</v>
      </c>
      <c r="AH7" s="1"/>
      <c r="AI7" s="1"/>
      <c r="AJ7" s="1"/>
      <c r="AK7" s="1"/>
    </row>
    <row r="8" spans="2:42" s="5" customFormat="1" ht="14.4" customHeight="1" x14ac:dyDescent="0.3">
      <c r="B8" s="599"/>
      <c r="C8" s="600"/>
      <c r="D8" s="600"/>
      <c r="E8" s="600"/>
      <c r="F8" s="600"/>
      <c r="G8" s="600"/>
      <c r="H8" s="600"/>
      <c r="I8" s="600"/>
      <c r="J8" s="600"/>
      <c r="K8" s="601"/>
      <c r="L8" s="1"/>
      <c r="P8"/>
      <c r="Q8"/>
      <c r="R8"/>
      <c r="X8" s="13"/>
      <c r="Y8" s="14" t="s">
        <v>87</v>
      </c>
      <c r="Z8" s="348" t="s">
        <v>85</v>
      </c>
      <c r="AH8" s="1"/>
      <c r="AI8" s="1"/>
      <c r="AJ8" s="1"/>
      <c r="AK8" s="1"/>
    </row>
    <row r="9" spans="2:42" s="5" customFormat="1" ht="14.4" customHeight="1" x14ac:dyDescent="0.3">
      <c r="B9" s="599"/>
      <c r="C9" s="600"/>
      <c r="D9" s="600"/>
      <c r="E9" s="600"/>
      <c r="F9" s="600"/>
      <c r="G9" s="600"/>
      <c r="H9" s="600"/>
      <c r="I9" s="600"/>
      <c r="J9" s="600"/>
      <c r="K9" s="601"/>
      <c r="L9" s="1"/>
      <c r="P9"/>
      <c r="Q9"/>
      <c r="R9"/>
      <c r="X9" s="13" t="s">
        <v>88</v>
      </c>
      <c r="Y9" s="14" t="s">
        <v>84</v>
      </c>
      <c r="Z9" s="348" t="s">
        <v>85</v>
      </c>
      <c r="AH9" s="1"/>
      <c r="AI9" s="1"/>
      <c r="AJ9" s="1"/>
      <c r="AK9" s="1"/>
    </row>
    <row r="10" spans="2:42" s="5" customFormat="1" ht="14.4" customHeight="1" x14ac:dyDescent="0.3">
      <c r="B10" s="599"/>
      <c r="C10" s="600"/>
      <c r="D10" s="600"/>
      <c r="E10" s="600"/>
      <c r="F10" s="600"/>
      <c r="G10" s="600"/>
      <c r="H10" s="600"/>
      <c r="I10" s="600"/>
      <c r="J10" s="600"/>
      <c r="K10" s="601"/>
      <c r="L10" s="1"/>
      <c r="P10"/>
      <c r="Q10"/>
      <c r="R10"/>
      <c r="X10" s="13"/>
      <c r="Y10" s="14" t="s">
        <v>89</v>
      </c>
      <c r="Z10" s="348" t="s">
        <v>85</v>
      </c>
      <c r="AH10" s="1"/>
      <c r="AI10" s="1"/>
      <c r="AJ10" s="1"/>
      <c r="AK10" s="1"/>
    </row>
    <row r="11" spans="2:42" s="5" customFormat="1" ht="14.4" customHeight="1" x14ac:dyDescent="0.3">
      <c r="B11" s="599"/>
      <c r="C11" s="600"/>
      <c r="D11" s="600"/>
      <c r="E11" s="600"/>
      <c r="F11" s="600"/>
      <c r="G11" s="600"/>
      <c r="H11" s="600"/>
      <c r="I11" s="600"/>
      <c r="J11" s="600"/>
      <c r="K11" s="601"/>
      <c r="L11" s="1"/>
      <c r="P11"/>
      <c r="Q11"/>
      <c r="R11"/>
      <c r="X11" s="13" t="s">
        <v>90</v>
      </c>
      <c r="Y11" s="14" t="s">
        <v>84</v>
      </c>
      <c r="Z11" s="348" t="s">
        <v>85</v>
      </c>
      <c r="AH11" s="1"/>
      <c r="AI11" s="1"/>
      <c r="AJ11" s="1"/>
      <c r="AK11" s="1"/>
    </row>
    <row r="12" spans="2:42" s="5" customFormat="1" ht="14.4" customHeight="1" x14ac:dyDescent="0.3">
      <c r="B12" s="599"/>
      <c r="C12" s="600"/>
      <c r="D12" s="600"/>
      <c r="E12" s="600"/>
      <c r="F12" s="600"/>
      <c r="G12" s="600"/>
      <c r="H12" s="600"/>
      <c r="I12" s="600"/>
      <c r="J12" s="600"/>
      <c r="K12" s="601"/>
      <c r="L12" s="1"/>
      <c r="P12"/>
      <c r="Q12"/>
      <c r="R12"/>
      <c r="X12" s="13"/>
      <c r="Y12" s="14" t="s">
        <v>89</v>
      </c>
      <c r="Z12" s="348" t="s">
        <v>85</v>
      </c>
      <c r="AB12" s="289" t="s">
        <v>91</v>
      </c>
      <c r="AC12" s="290"/>
      <c r="AD12" s="291"/>
      <c r="AH12" s="1"/>
      <c r="AI12" s="1"/>
      <c r="AJ12" s="1"/>
      <c r="AK12" s="1"/>
      <c r="AN12" s="1"/>
      <c r="AO12" s="1"/>
      <c r="AP12" s="1"/>
    </row>
    <row r="13" spans="2:42" ht="14.4" customHeight="1" x14ac:dyDescent="0.3">
      <c r="B13" s="599"/>
      <c r="C13" s="600"/>
      <c r="D13" s="600"/>
      <c r="E13" s="600"/>
      <c r="F13" s="600"/>
      <c r="G13" s="600"/>
      <c r="H13" s="600"/>
      <c r="I13" s="600"/>
      <c r="J13" s="600"/>
      <c r="K13" s="601"/>
      <c r="P13"/>
      <c r="Q13"/>
      <c r="R13"/>
      <c r="X13" s="15" t="s">
        <v>92</v>
      </c>
      <c r="Y13" s="16"/>
      <c r="Z13" s="348" t="s">
        <v>85</v>
      </c>
      <c r="AB13" s="293" t="s">
        <v>93</v>
      </c>
      <c r="AC13" s="294" t="s">
        <v>94</v>
      </c>
      <c r="AD13" s="542" t="s">
        <v>95</v>
      </c>
    </row>
    <row r="14" spans="2:42" ht="14.4" x14ac:dyDescent="0.3">
      <c r="B14" s="599"/>
      <c r="C14" s="600"/>
      <c r="D14" s="600"/>
      <c r="E14" s="600"/>
      <c r="F14" s="600"/>
      <c r="G14" s="600"/>
      <c r="H14" s="600"/>
      <c r="I14" s="600"/>
      <c r="J14" s="600"/>
      <c r="K14" s="601"/>
      <c r="P14"/>
      <c r="Q14"/>
      <c r="R14"/>
      <c r="X14" s="15" t="s">
        <v>96</v>
      </c>
      <c r="Y14" s="16"/>
      <c r="Z14" s="348" t="s">
        <v>85</v>
      </c>
      <c r="AA14" s="247"/>
      <c r="AB14" s="292" t="s">
        <v>30</v>
      </c>
      <c r="AC14" s="295">
        <v>0</v>
      </c>
      <c r="AD14" s="296">
        <v>0</v>
      </c>
    </row>
    <row r="15" spans="2:42" ht="12.75" customHeight="1" x14ac:dyDescent="0.3">
      <c r="B15" s="602"/>
      <c r="C15" s="603"/>
      <c r="D15" s="603"/>
      <c r="E15" s="603"/>
      <c r="F15" s="603"/>
      <c r="G15" s="603"/>
      <c r="H15" s="603"/>
      <c r="I15" s="603"/>
      <c r="J15" s="603"/>
      <c r="K15" s="604"/>
      <c r="P15"/>
      <c r="Q15"/>
      <c r="R15"/>
      <c r="X15" s="15" t="s">
        <v>97</v>
      </c>
      <c r="Y15" s="16"/>
      <c r="Z15" s="348" t="s">
        <v>85</v>
      </c>
      <c r="AA15"/>
      <c r="AB15" s="253" t="s">
        <v>31</v>
      </c>
      <c r="AC15" s="297">
        <v>0</v>
      </c>
      <c r="AD15" s="298">
        <v>0</v>
      </c>
    </row>
    <row r="16" spans="2:42" ht="12.75" customHeight="1" x14ac:dyDescent="0.3">
      <c r="P16"/>
      <c r="Q16"/>
      <c r="R16"/>
      <c r="X16" s="15" t="s">
        <v>98</v>
      </c>
      <c r="Y16" s="16"/>
      <c r="Z16" s="348" t="s">
        <v>85</v>
      </c>
      <c r="AA16"/>
      <c r="AB16" s="253" t="s">
        <v>32</v>
      </c>
      <c r="AC16" s="297">
        <v>0</v>
      </c>
      <c r="AD16" s="298">
        <v>0</v>
      </c>
    </row>
    <row r="17" spans="2:42" ht="12.75" customHeight="1" x14ac:dyDescent="0.3">
      <c r="P17"/>
      <c r="Q17"/>
      <c r="R17"/>
      <c r="X17" s="15" t="s">
        <v>99</v>
      </c>
      <c r="Y17" s="16"/>
      <c r="Z17" s="348" t="s">
        <v>85</v>
      </c>
      <c r="AA17"/>
      <c r="AB17" s="253" t="s">
        <v>33</v>
      </c>
      <c r="AC17" s="297">
        <v>0</v>
      </c>
      <c r="AD17" s="298">
        <v>0</v>
      </c>
    </row>
    <row r="18" spans="2:42" ht="12.75" customHeight="1" x14ac:dyDescent="0.3">
      <c r="B18" s="61" t="s">
        <v>3</v>
      </c>
      <c r="C18" s="189" t="s">
        <v>4</v>
      </c>
      <c r="D18" s="62" t="s">
        <v>5</v>
      </c>
      <c r="E18" s="62" t="s">
        <v>6</v>
      </c>
      <c r="F18" s="307" t="s">
        <v>100</v>
      </c>
      <c r="P18"/>
      <c r="Q18"/>
      <c r="R18"/>
      <c r="X18" s="349" t="s">
        <v>101</v>
      </c>
      <c r="Y18" s="18"/>
      <c r="Z18" s="350" t="s">
        <v>85</v>
      </c>
      <c r="AB18" s="17" t="s">
        <v>34</v>
      </c>
      <c r="AC18" s="299">
        <v>0</v>
      </c>
      <c r="AD18" s="300">
        <v>0</v>
      </c>
    </row>
    <row r="19" spans="2:42" customFormat="1" ht="12.75" customHeight="1" x14ac:dyDescent="0.3">
      <c r="AL19" s="1"/>
      <c r="AN19" s="1"/>
      <c r="AO19" s="1"/>
      <c r="AP19" s="1"/>
    </row>
    <row r="21" spans="2:42" ht="13.8" x14ac:dyDescent="0.3">
      <c r="B21" s="543" t="s">
        <v>78</v>
      </c>
      <c r="C21" s="544"/>
      <c r="D21" s="544"/>
      <c r="E21" s="544"/>
      <c r="F21" s="544"/>
      <c r="G21" s="544"/>
      <c r="H21" s="544"/>
      <c r="I21" s="544"/>
      <c r="J21" s="544"/>
      <c r="K21" s="544"/>
      <c r="L21" s="544"/>
      <c r="M21" s="607" t="s">
        <v>102</v>
      </c>
      <c r="N21" s="608"/>
      <c r="O21" s="608"/>
      <c r="P21" s="608"/>
      <c r="Q21" s="608"/>
      <c r="R21" s="608"/>
      <c r="S21" s="608"/>
      <c r="T21" s="609"/>
      <c r="U21" s="544"/>
      <c r="V21" s="544"/>
      <c r="W21" s="544"/>
      <c r="X21" s="544"/>
      <c r="Y21" s="544"/>
      <c r="Z21" s="544"/>
      <c r="AA21" s="544"/>
      <c r="AB21" s="544"/>
      <c r="AC21" s="544"/>
      <c r="AD21" s="544"/>
      <c r="AE21" s="545"/>
      <c r="AF21" s="545"/>
      <c r="AG21" s="545"/>
      <c r="AH21" s="545"/>
      <c r="AI21" s="545"/>
      <c r="AJ21" s="545"/>
      <c r="AK21" s="545"/>
    </row>
    <row r="22" spans="2:42" ht="12.75" customHeight="1" x14ac:dyDescent="0.3">
      <c r="B22" s="556" t="s">
        <v>103</v>
      </c>
      <c r="C22" s="571" t="s">
        <v>104</v>
      </c>
      <c r="D22" s="572"/>
      <c r="E22" s="589" t="s">
        <v>105</v>
      </c>
      <c r="F22" s="589" t="s">
        <v>106</v>
      </c>
      <c r="G22" s="556" t="s">
        <v>107</v>
      </c>
      <c r="H22" s="556" t="s">
        <v>108</v>
      </c>
      <c r="I22" s="556" t="s">
        <v>109</v>
      </c>
      <c r="J22" s="556" t="s">
        <v>110</v>
      </c>
      <c r="K22" s="556" t="s">
        <v>111</v>
      </c>
      <c r="L22" s="556" t="s">
        <v>112</v>
      </c>
      <c r="M22" s="579" t="s">
        <v>113</v>
      </c>
      <c r="N22" s="579" t="s">
        <v>114</v>
      </c>
      <c r="O22" s="579" t="s">
        <v>115</v>
      </c>
      <c r="P22" s="579" t="s">
        <v>116</v>
      </c>
      <c r="Q22" s="579" t="s">
        <v>117</v>
      </c>
      <c r="R22" s="591" t="s">
        <v>118</v>
      </c>
      <c r="S22" s="592"/>
      <c r="T22" s="593"/>
      <c r="U22" s="586" t="s">
        <v>119</v>
      </c>
      <c r="V22" s="587"/>
      <c r="W22" s="588"/>
      <c r="X22" s="586" t="s">
        <v>120</v>
      </c>
      <c r="Y22" s="587"/>
      <c r="Z22" s="587"/>
      <c r="AA22" s="587"/>
      <c r="AB22" s="588"/>
      <c r="AC22" s="586" t="s">
        <v>121</v>
      </c>
      <c r="AD22" s="587"/>
      <c r="AE22" s="588"/>
      <c r="AF22" s="582" t="s">
        <v>122</v>
      </c>
      <c r="AG22" s="582" t="s">
        <v>123</v>
      </c>
      <c r="AH22" s="556" t="s">
        <v>124</v>
      </c>
      <c r="AI22" s="556" t="s">
        <v>125</v>
      </c>
      <c r="AJ22" s="556" t="s">
        <v>126</v>
      </c>
      <c r="AK22" s="556" t="s">
        <v>127</v>
      </c>
    </row>
    <row r="23" spans="2:42" ht="12.75" customHeight="1" x14ac:dyDescent="0.3">
      <c r="B23" s="557"/>
      <c r="C23" s="610"/>
      <c r="D23" s="611"/>
      <c r="E23" s="589"/>
      <c r="F23" s="589"/>
      <c r="G23" s="557"/>
      <c r="H23" s="557"/>
      <c r="I23" s="557"/>
      <c r="J23" s="557"/>
      <c r="K23" s="557"/>
      <c r="L23" s="557"/>
      <c r="M23" s="590"/>
      <c r="N23" s="590"/>
      <c r="O23" s="590"/>
      <c r="P23" s="590"/>
      <c r="Q23" s="590"/>
      <c r="R23" s="578" t="s">
        <v>94</v>
      </c>
      <c r="S23" s="578" t="s">
        <v>128</v>
      </c>
      <c r="T23" s="594" t="s">
        <v>129</v>
      </c>
      <c r="U23" s="589" t="s">
        <v>94</v>
      </c>
      <c r="V23" s="589" t="s">
        <v>128</v>
      </c>
      <c r="W23" s="584" t="s">
        <v>130</v>
      </c>
      <c r="X23" s="589" t="s">
        <v>94</v>
      </c>
      <c r="Y23" s="556" t="s">
        <v>95</v>
      </c>
      <c r="Z23" s="556" t="s">
        <v>131</v>
      </c>
      <c r="AA23" s="556" t="s">
        <v>132</v>
      </c>
      <c r="AB23" s="584" t="s">
        <v>133</v>
      </c>
      <c r="AC23" s="588" t="s">
        <v>94</v>
      </c>
      <c r="AD23" s="586" t="s">
        <v>128</v>
      </c>
      <c r="AE23" s="584" t="s">
        <v>134</v>
      </c>
      <c r="AF23" s="583"/>
      <c r="AG23" s="583"/>
      <c r="AH23" s="557"/>
      <c r="AI23" s="557"/>
      <c r="AJ23" s="557"/>
      <c r="AK23" s="557"/>
    </row>
    <row r="24" spans="2:42" ht="13.8" x14ac:dyDescent="0.3">
      <c r="B24" s="557"/>
      <c r="C24" s="610"/>
      <c r="D24" s="611"/>
      <c r="E24" s="556"/>
      <c r="F24" s="556"/>
      <c r="G24" s="557"/>
      <c r="H24" s="557"/>
      <c r="I24" s="557"/>
      <c r="J24" s="557"/>
      <c r="K24" s="558"/>
      <c r="L24" s="557"/>
      <c r="M24" s="590"/>
      <c r="N24" s="590"/>
      <c r="O24" s="590"/>
      <c r="P24" s="590"/>
      <c r="Q24" s="590"/>
      <c r="R24" s="579"/>
      <c r="S24" s="579"/>
      <c r="T24" s="595"/>
      <c r="U24" s="556"/>
      <c r="V24" s="556"/>
      <c r="W24" s="585"/>
      <c r="X24" s="556"/>
      <c r="Y24" s="557"/>
      <c r="Z24" s="557"/>
      <c r="AA24" s="557"/>
      <c r="AB24" s="585"/>
      <c r="AC24" s="572"/>
      <c r="AD24" s="571"/>
      <c r="AE24" s="585"/>
      <c r="AF24" s="583"/>
      <c r="AG24" s="583"/>
      <c r="AH24" s="557"/>
      <c r="AI24" s="557"/>
      <c r="AJ24" s="557"/>
      <c r="AK24" s="558"/>
    </row>
    <row r="25" spans="2:42" s="363" customFormat="1" ht="13.8" x14ac:dyDescent="0.3">
      <c r="B25" s="375" t="s">
        <v>135</v>
      </c>
      <c r="C25" s="577" t="s">
        <v>136</v>
      </c>
      <c r="D25" s="577"/>
      <c r="E25" s="383" t="s">
        <v>31</v>
      </c>
      <c r="F25" s="384">
        <v>500</v>
      </c>
      <c r="G25" s="383" t="s">
        <v>85</v>
      </c>
      <c r="H25" s="383">
        <v>10</v>
      </c>
      <c r="I25" s="387">
        <f>H25*F25</f>
        <v>5000</v>
      </c>
      <c r="J25" s="389" t="s">
        <v>137</v>
      </c>
      <c r="K25" s="391">
        <v>0.8</v>
      </c>
      <c r="L25" s="397" t="s">
        <v>138</v>
      </c>
      <c r="M25" s="401">
        <v>0</v>
      </c>
      <c r="N25" s="392" t="s">
        <v>139</v>
      </c>
      <c r="O25" s="391" t="str">
        <f>IFERROR(INDEX('Data - Reference'!$B$37:$B$58,MATCH('Unit Summary - Rent Roll'!$M25,INDEX('Data - Reference'!$B$37:$J$58,,MATCH('Unit Summary - Rent Roll'!$N25,'Data - Reference'!$B$37:$J$58,0)),-1),1),"NA")</f>
        <v>NA</v>
      </c>
      <c r="P25" s="393" t="s">
        <v>85</v>
      </c>
      <c r="Q25" s="389" t="s">
        <v>85</v>
      </c>
      <c r="R25" s="407">
        <v>0</v>
      </c>
      <c r="S25" s="371">
        <f>IFERROR(R25/$F25,0)</f>
        <v>0</v>
      </c>
      <c r="T25" s="372">
        <f>IF(G25="Y",R25*$H25*12,0)</f>
        <v>0</v>
      </c>
      <c r="U25" s="410">
        <v>996</v>
      </c>
      <c r="V25" s="371">
        <v>1.8</v>
      </c>
      <c r="W25" s="372">
        <v>10800</v>
      </c>
      <c r="X25" s="411">
        <v>1080</v>
      </c>
      <c r="Y25" s="422">
        <v>-84</v>
      </c>
      <c r="Z25" s="422">
        <v>996</v>
      </c>
      <c r="AA25" s="423">
        <v>1.99</v>
      </c>
      <c r="AB25" s="424">
        <v>11952</v>
      </c>
      <c r="AC25" s="423">
        <f>IF(AND($R25=$U25,$R25&gt;0,$U25&gt;0,$Z25&gt;0),MIN($R25,$U25,$Z25),
IF(AND($R25&lt;$U25,$Z25&gt;0),MIN($U25,$Z25),
$U25))</f>
        <v>996</v>
      </c>
      <c r="AD25" s="425">
        <f t="shared" ref="AD25:AD31" si="0">IFERROR(AC25/$F25,0)</f>
        <v>1.992</v>
      </c>
      <c r="AE25" s="424">
        <f t="shared" ref="AE25:AE31" si="1">AC25*$H25*12</f>
        <v>119520</v>
      </c>
      <c r="AF25" s="414" t="str">
        <f>IFERROR(IF(J25="Market","NA",IF(U25=0,"NA",IF(U25&gt;=Z25,"N","Y"))),"NA")</f>
        <v>N</v>
      </c>
      <c r="AG25" s="527" t="str">
        <f>IF(V25=0,"NA",IF(V25&gt;AA25,"N","Y"))</f>
        <v>Y</v>
      </c>
      <c r="AH25" s="412" t="str">
        <f t="shared" ref="AH25:AH31" si="2">IFERROR(IF(OR(G25="N",AE25=0),"NA",
IF(M25=0,"Input Current Household Income",
IF(G25="Y",IF(OR(J25="PBV - Income-Restricted",J25="PBRA - Income-Restricted",(U25-Y25)&lt;=M25/12*0.3),"Y","N"),"NA"))),"NA")</f>
        <v>NA</v>
      </c>
      <c r="AI25" s="376" t="str">
        <f>IFERROR(IF(AE25=0,"NA",
IF(G25="Y",IF(AC25/R25-1&lt;=0.05,"Y","N"),"NA")),"NA")</f>
        <v>NA</v>
      </c>
      <c r="AJ25" s="376" t="str">
        <f t="shared" ref="AJ25:AJ31" si="3">IFERROR(IF(G25="N","NA",
(IF(AND(J25="Market",O25&gt;80%),"4",
IF(AND(O25&lt;=K25,O25&lt;=80%),"1a",
IF(AND(O25&lt;=K25,O25&gt;80%,O25&lt;=120%),"1b",
IF(AND(O25&gt;K25,O25&lt;=80%),"2a",
IF(AND(O25&gt;80%,O25&lt;=120%,O25-K25&lt;=20%),"2b",
IF(AND(O25&gt;80%,O25&lt;=120%,O25-K25&gt;20%),"3a",
IF(OR(M25=0,O25&gt;120%),"3b",
"Other"))))))))),"NA")</f>
        <v>NA</v>
      </c>
      <c r="AK25" s="525" t="str">
        <f>IFERROR(IF(AH25=0,"NA",
IF(I25="Y",IF(OR(L25="PBV - Income-Restricted",AE25/T25-1&lt;=0.05),"Y","N"),"NA")),"NA")</f>
        <v>NA</v>
      </c>
    </row>
    <row r="26" spans="2:42" s="363" customFormat="1" ht="13.8" x14ac:dyDescent="0.3">
      <c r="B26" s="377" t="s">
        <v>140</v>
      </c>
      <c r="C26" s="576" t="s">
        <v>136</v>
      </c>
      <c r="D26" s="576"/>
      <c r="E26" s="385" t="s">
        <v>31</v>
      </c>
      <c r="F26" s="386">
        <v>500</v>
      </c>
      <c r="G26" s="385" t="s">
        <v>141</v>
      </c>
      <c r="H26" s="385">
        <v>1</v>
      </c>
      <c r="I26" s="388">
        <v>500</v>
      </c>
      <c r="J26" s="390" t="s">
        <v>137</v>
      </c>
      <c r="K26" s="394">
        <v>0.8</v>
      </c>
      <c r="L26" s="398" t="s">
        <v>138</v>
      </c>
      <c r="M26" s="402">
        <v>35000</v>
      </c>
      <c r="N26" s="395" t="s">
        <v>142</v>
      </c>
      <c r="O26" s="394">
        <f>IF(OR(M26=0,N26="NA"),"NA",IFERROR(INDEX('Data - Reference'!$B$37:$B$50,MATCH('Unit Summary - Rent Roll'!$M26,INDEX('Data - Reference'!$B$37:$J$50,,MATCH('Unit Summary - Rent Roll'!$N26,'Data - Reference'!$B$37:$J$37,0)),-1),1),"NA"))</f>
        <v>0.5</v>
      </c>
      <c r="P26" s="396" t="s">
        <v>141</v>
      </c>
      <c r="Q26" s="390" t="s">
        <v>85</v>
      </c>
      <c r="R26" s="406">
        <v>800</v>
      </c>
      <c r="S26" s="408">
        <v>1.6</v>
      </c>
      <c r="T26" s="409">
        <v>9600</v>
      </c>
      <c r="U26" s="378">
        <v>1500</v>
      </c>
      <c r="V26" s="408">
        <v>1.8</v>
      </c>
      <c r="W26" s="409">
        <v>10800</v>
      </c>
      <c r="X26" s="380">
        <v>1080</v>
      </c>
      <c r="Y26" s="413">
        <v>-84</v>
      </c>
      <c r="Z26" s="413">
        <v>996</v>
      </c>
      <c r="AA26" s="379">
        <v>1.99</v>
      </c>
      <c r="AB26" s="409">
        <v>11952</v>
      </c>
      <c r="AC26" s="378">
        <f>IF(AND($R26=$U26,$R26&gt;0,$U26&gt;0,$Z26&gt;0),MIN($R26,$U26,$Z26),
IF(AND($R26&lt;$U26,$Z26&gt;0),MIN($U26,$Z26),
$U26))</f>
        <v>996</v>
      </c>
      <c r="AD26" s="408">
        <f t="shared" si="0"/>
        <v>1.992</v>
      </c>
      <c r="AE26" s="409">
        <f t="shared" si="1"/>
        <v>11952</v>
      </c>
      <c r="AF26" s="381" t="str">
        <f>IFERROR(IF(J26="Market","NA",IF(U26=0,"NA",IF(U26&gt;=Z26,"N","Y"))),"NA")</f>
        <v>N</v>
      </c>
      <c r="AG26" s="419" t="str">
        <f>IF(V26=0,"NA",IF(V26&gt;AA26,"N","Y"))</f>
        <v>Y</v>
      </c>
      <c r="AH26" s="419" t="str">
        <f t="shared" si="2"/>
        <v>N</v>
      </c>
      <c r="AI26" s="382" t="str">
        <f t="shared" ref="AI26:AI289" si="4">IFERROR(IF(AE26=0,"NA",
IF(G26="Y",IF(AC26/R26-1&lt;=0.05,"Y","N"),"NA")),"NA")</f>
        <v>N</v>
      </c>
      <c r="AJ26" s="382" t="str">
        <f t="shared" si="3"/>
        <v>1a</v>
      </c>
      <c r="AK26" s="526" t="str">
        <f>IFERROR(IF(AH26=0,"NA",
IF(I26="Y",IF(OR(L26="PBV - Income-Restricted",AE26/T26-1&lt;=0.05),"Y","N"),"NA")),"NA")</f>
        <v>NA</v>
      </c>
    </row>
    <row r="27" spans="2:42" ht="13.8" x14ac:dyDescent="0.3">
      <c r="B27" s="236">
        <v>1</v>
      </c>
      <c r="C27" s="580" t="s">
        <v>143</v>
      </c>
      <c r="D27" s="581"/>
      <c r="E27" s="186" t="s">
        <v>139</v>
      </c>
      <c r="F27" s="187">
        <v>0</v>
      </c>
      <c r="G27" s="239" t="s">
        <v>85</v>
      </c>
      <c r="H27" s="243">
        <v>0</v>
      </c>
      <c r="I27" s="374">
        <f>F27*H27</f>
        <v>0</v>
      </c>
      <c r="J27" s="250" t="s">
        <v>139</v>
      </c>
      <c r="K27" s="508" t="s">
        <v>139</v>
      </c>
      <c r="L27" s="399" t="s">
        <v>139</v>
      </c>
      <c r="M27" s="403">
        <v>0</v>
      </c>
      <c r="N27" s="282" t="s">
        <v>139</v>
      </c>
      <c r="O27" s="302" t="str">
        <f>IF(OR(M27=0,N27="NA"),"NA",IFERROR(INDEX('Data - Reference'!$B$37:$B$50,MATCH('Unit Summary - Rent Roll'!$M27,INDEX('Data - Reference'!$B$37:$J$50,,MATCH('Unit Summary - Rent Roll'!$N27,'Data - Reference'!$B$37:$J$37,0)),-1),1),"&gt;150%"))</f>
        <v>NA</v>
      </c>
      <c r="P27" s="239" t="s">
        <v>85</v>
      </c>
      <c r="Q27" s="239" t="s">
        <v>85</v>
      </c>
      <c r="R27" s="188">
        <v>0</v>
      </c>
      <c r="S27" s="364">
        <f>IFERROR(R27/$F27,0)</f>
        <v>0</v>
      </c>
      <c r="T27" s="97">
        <f>IF(G27="Y",R27*$H27*12,0)</f>
        <v>0</v>
      </c>
      <c r="U27" s="188">
        <v>0</v>
      </c>
      <c r="V27" s="364">
        <f>IFERROR(U27/$F27,0)</f>
        <v>0</v>
      </c>
      <c r="W27" s="97">
        <f>U27*$H27*12</f>
        <v>0</v>
      </c>
      <c r="X27" s="71">
        <f>IFERROR(IF(INDEX(AC$14:AC$18,MATCH($E27,$AB$14:$AB$18,0))&lt;&gt;0,INDEX(AC$14:AC$18,MATCH($E27,$AB$14:$AB$18,0)),
IF($M27="Market",0,IF($L27="HUD FMR",INDEX('Data - Reference'!$B$31:$G$31,MATCH($E27,'Data - Reference'!$B$9:$G$9,0)),INDEX('Data - Reference'!$B$9:$G$31,MATCH($K27,'Data - Reference'!$B$9:$B$31,0),MATCH($E27,'Data - Reference'!$B$9:$G$9,0))))),0)</f>
        <v>0</v>
      </c>
      <c r="Y27" s="71">
        <f>IFERROR(IF(INDEX(AD$14:AD$18,MATCH($E27,$AB$14:$AB$18,0))&lt;&gt;0,INDEX(AD$14:AD$18,MATCH($E27,$AB$14:$AB$18,0)),
IF($K27="None - Market",0,-INDEX('Data - Reference'!$B$32:$G$32,MATCH($E27,'Data - Reference'!$B$9:$G$9,0)))),0)</f>
        <v>0</v>
      </c>
      <c r="Z27" s="74">
        <f>ROUND(SUM(X27:Y27),0)</f>
        <v>0</v>
      </c>
      <c r="AA27" s="67">
        <f>IFERROR(Z27/$F27,0)</f>
        <v>0</v>
      </c>
      <c r="AB27" s="97">
        <f>Z27*$H27*12</f>
        <v>0</v>
      </c>
      <c r="AC27" s="82">
        <f t="shared" ref="AC27:AC291" si="5">IF(AND($R27=$U27,$R27&gt;0,$U27&gt;0,$Z27&gt;0),MIN($R27,$U27,$Z27),
IF(AND($R27&lt;$U27,$Z27&gt;0),MIN($U27,$Z27),
$U27))</f>
        <v>0</v>
      </c>
      <c r="AD27" s="83">
        <f t="shared" si="0"/>
        <v>0</v>
      </c>
      <c r="AE27" s="97">
        <f t="shared" si="1"/>
        <v>0</v>
      </c>
      <c r="AF27" s="415" t="str">
        <f>IFERROR(IF(J27="Market","NA",IF(U27=0,"NA",IF(U27&gt;Z27,"N","Y"))),"NA")</f>
        <v>NA</v>
      </c>
      <c r="AG27" s="420" t="str">
        <f>IFERROR(IF(AND(OR(AJ27="1a",AJ27="2a"),OR(AH27="Y",AI27="Y")),"Y",
IF(AND(OR(AJ27="1b",AJ27="2b"),AF27="Y"),"Y",
IF(AJ27="4","Y",
IF(AJ27="NA","NA",
"N")))),"NA")</f>
        <v>NA</v>
      </c>
      <c r="AH27" s="420" t="str">
        <f t="shared" si="2"/>
        <v>NA</v>
      </c>
      <c r="AI27" s="417" t="str">
        <f t="shared" si="4"/>
        <v>NA</v>
      </c>
      <c r="AJ27" s="417" t="str">
        <f t="shared" si="3"/>
        <v>NA</v>
      </c>
      <c r="AK27" s="524" t="str">
        <f>IFERROR(INDEX('Legacy Resident Reference'!R:R,MATCH('Unit Summary - Rent Roll'!AJ27,'Legacy Resident Reference'!P:P,0)),"NA")</f>
        <v>NA</v>
      </c>
    </row>
    <row r="28" spans="2:42" ht="13.8" x14ac:dyDescent="0.3">
      <c r="B28" s="236">
        <v>2</v>
      </c>
      <c r="C28" s="580" t="s">
        <v>143</v>
      </c>
      <c r="D28" s="581"/>
      <c r="E28" s="186" t="s">
        <v>139</v>
      </c>
      <c r="F28" s="187">
        <v>0</v>
      </c>
      <c r="G28" s="239" t="s">
        <v>85</v>
      </c>
      <c r="H28" s="243">
        <v>0</v>
      </c>
      <c r="I28" s="374">
        <f>F28*H28</f>
        <v>0</v>
      </c>
      <c r="J28" s="250" t="s">
        <v>139</v>
      </c>
      <c r="K28" s="508" t="s">
        <v>139</v>
      </c>
      <c r="L28" s="399" t="s">
        <v>139</v>
      </c>
      <c r="M28" s="403">
        <v>0</v>
      </c>
      <c r="N28" s="282" t="s">
        <v>139</v>
      </c>
      <c r="O28" s="302" t="str">
        <f>IF(OR(M28=0,N28="NA"),"NA",IFERROR(INDEX('Data - Reference'!$B$37:$B$50,MATCH('Unit Summary - Rent Roll'!$M28,INDEX('Data - Reference'!$B$37:$J$50,,MATCH('Unit Summary - Rent Roll'!$N28,'Data - Reference'!$B$37:$J$37,0)),-1),1),"NA"))</f>
        <v>NA</v>
      </c>
      <c r="P28" s="239" t="s">
        <v>85</v>
      </c>
      <c r="Q28" s="239" t="s">
        <v>85</v>
      </c>
      <c r="R28" s="188">
        <v>0</v>
      </c>
      <c r="S28" s="364">
        <f>IFERROR(R28/$F28,0)</f>
        <v>0</v>
      </c>
      <c r="T28" s="97">
        <f>IF(G28="Y",R28*$H28*12,0)</f>
        <v>0</v>
      </c>
      <c r="U28" s="188">
        <v>0</v>
      </c>
      <c r="V28" s="364">
        <f>IFERROR(U28/$F28,0)</f>
        <v>0</v>
      </c>
      <c r="W28" s="97">
        <f>U28*$H28*12</f>
        <v>0</v>
      </c>
      <c r="X28" s="71">
        <f>IFERROR(IF(INDEX(AC$14:AC$18,MATCH($E28,$AB$14:$AB$18,0))&lt;&gt;0,INDEX(AC$14:AC$18,MATCH($E28,$AB$14:$AB$18,0)),
IF($M28="Market",0,IF($L28="HUD FMR",INDEX('Data - Reference'!$B$31:$G$31,MATCH($E28,'Data - Reference'!$B$9:$G$9,0)),INDEX('Data - Reference'!$B$9:$G$31,MATCH($K28,'Data - Reference'!$B$9:$B$31,0),MATCH($E28,'Data - Reference'!$B$9:$G$9,0))))),0)</f>
        <v>0</v>
      </c>
      <c r="Y28" s="71">
        <f>IFERROR(IF(INDEX(AD$14:AD$18,MATCH($E28,$AB$14:$AB$18,0))&lt;&gt;0,INDEX(AD$14:AD$18,MATCH($E28,$AB$14:$AB$18,0)),
IF($K28="None - Market",0,-INDEX('Data - Reference'!$B$32:$G$32,MATCH($E28,'Data - Reference'!$B$9:$G$9,0)))),0)</f>
        <v>0</v>
      </c>
      <c r="Z28" s="74">
        <f t="shared" ref="Z28:Z91" si="6">ROUND(SUM(X28:Y28),0)</f>
        <v>0</v>
      </c>
      <c r="AA28" s="67">
        <f>IFERROR(Z28/$F28,0)</f>
        <v>0</v>
      </c>
      <c r="AB28" s="97">
        <f>Z28*$H28*12</f>
        <v>0</v>
      </c>
      <c r="AC28" s="82">
        <f>IF(AND($R28=$U28,$R28&gt;0,$U28&gt;0,$Z28&gt;0),MIN($R28,$U28,$Z28),
IF(AND($R28&lt;$U28,$Z28&gt;0),MIN($U28,$Z28),
$U28))</f>
        <v>0</v>
      </c>
      <c r="AD28" s="83">
        <f t="shared" si="0"/>
        <v>0</v>
      </c>
      <c r="AE28" s="97">
        <f t="shared" si="1"/>
        <v>0</v>
      </c>
      <c r="AF28" s="415" t="str">
        <f t="shared" ref="AF28:AF91" si="7">IFERROR(IF(J28="Market","NA",IF(U28=0,"NA",IF(U28&gt;Z28,"N","Y"))),"NA")</f>
        <v>NA</v>
      </c>
      <c r="AG28" s="420" t="str">
        <f>IFERROR(IF(AND(OR(AJ28="1a",AJ28="2a"),OR(AH28="Y",AI28="Y")),"Y",
IF(AND(OR(AJ28="1b",AJ28="2b"),AF28="Y"),"Y",
IF(AJ28="4","Y",
IF(AJ28="NA","NA",
"N")))),"NA")</f>
        <v>NA</v>
      </c>
      <c r="AH28" s="420" t="str">
        <f t="shared" si="2"/>
        <v>NA</v>
      </c>
      <c r="AI28" s="417" t="str">
        <f t="shared" si="4"/>
        <v>NA</v>
      </c>
      <c r="AJ28" s="417" t="str">
        <f t="shared" si="3"/>
        <v>NA</v>
      </c>
      <c r="AK28" s="524" t="str">
        <f>IFERROR(INDEX('Legacy Resident Reference'!R:R,MATCH('Unit Summary - Rent Roll'!AJ28,'Legacy Resident Reference'!P:P,0)),"NA")</f>
        <v>NA</v>
      </c>
    </row>
    <row r="29" spans="2:42" ht="13.8" x14ac:dyDescent="0.3">
      <c r="B29" s="236">
        <v>3</v>
      </c>
      <c r="C29" s="580" t="s">
        <v>143</v>
      </c>
      <c r="D29" s="581"/>
      <c r="E29" s="186" t="s">
        <v>139</v>
      </c>
      <c r="F29" s="187">
        <v>0</v>
      </c>
      <c r="G29" s="239" t="s">
        <v>85</v>
      </c>
      <c r="H29" s="243">
        <v>0</v>
      </c>
      <c r="I29" s="374">
        <f>F29*H29</f>
        <v>0</v>
      </c>
      <c r="J29" s="250" t="s">
        <v>139</v>
      </c>
      <c r="K29" s="508" t="s">
        <v>139</v>
      </c>
      <c r="L29" s="399" t="s">
        <v>139</v>
      </c>
      <c r="M29" s="403">
        <v>0</v>
      </c>
      <c r="N29" s="282" t="s">
        <v>139</v>
      </c>
      <c r="O29" s="302" t="str">
        <f>IF(OR(M29=0,N29="NA"),"NA",IFERROR(INDEX('Data - Reference'!$B$37:$B$50,MATCH('Unit Summary - Rent Roll'!$M29,INDEX('Data - Reference'!$B$37:$J$50,,MATCH('Unit Summary - Rent Roll'!$N29,'Data - Reference'!$B$37:$J$37,0)),-1),1),"NA"))</f>
        <v>NA</v>
      </c>
      <c r="P29" s="239" t="s">
        <v>85</v>
      </c>
      <c r="Q29" s="239" t="s">
        <v>85</v>
      </c>
      <c r="R29" s="188">
        <v>0</v>
      </c>
      <c r="S29" s="364">
        <f>IFERROR(R29/$F29,0)</f>
        <v>0</v>
      </c>
      <c r="T29" s="97">
        <f>IF(G29="Y",R29*$H29*12,0)</f>
        <v>0</v>
      </c>
      <c r="U29" s="188">
        <v>0</v>
      </c>
      <c r="V29" s="364">
        <f>IFERROR(U29/$F29,0)</f>
        <v>0</v>
      </c>
      <c r="W29" s="97">
        <f>U29*$H29*12</f>
        <v>0</v>
      </c>
      <c r="X29" s="71">
        <f>IFERROR(IF(INDEX(AC$14:AC$18,MATCH($E29,$AB$14:$AB$18,0))&lt;&gt;0,INDEX(AC$14:AC$18,MATCH($E29,$AB$14:$AB$18,0)),
IF($M29="Market",0,IF($L29="HUD FMR",INDEX('Data - Reference'!$B$31:$G$31,MATCH($E29,'Data - Reference'!$B$9:$G$9,0)),INDEX('Data - Reference'!$B$9:$G$31,MATCH($K29,'Data - Reference'!$B$9:$B$31,0),MATCH($E29,'Data - Reference'!$B$9:$G$9,0))))),0)</f>
        <v>0</v>
      </c>
      <c r="Y29" s="71">
        <f>IFERROR(IF(INDEX(AD$14:AD$18,MATCH($E29,$AB$14:$AB$18,0))&lt;&gt;0,INDEX(AD$14:AD$18,MATCH($E29,$AB$14:$AB$18,0)),
IF($K29="None - Market",0,-INDEX('Data - Reference'!$B$32:$G$32,MATCH($E29,'Data - Reference'!$B$9:$G$9,0)))),0)</f>
        <v>0</v>
      </c>
      <c r="Z29" s="74">
        <f t="shared" si="6"/>
        <v>0</v>
      </c>
      <c r="AA29" s="67">
        <f>IFERROR(Z29/$F29,0)</f>
        <v>0</v>
      </c>
      <c r="AB29" s="97">
        <f>Z29*$H29*12</f>
        <v>0</v>
      </c>
      <c r="AC29" s="82">
        <f>IF(AND($R29=$U29,$R29&gt;0,$U29&gt;0,$Z29&gt;0),MIN($R29,$U29,$Z29),
IF(AND($R29&lt;$U29,$Z29&gt;0),MIN($U29,$Z29),
$U29))</f>
        <v>0</v>
      </c>
      <c r="AD29" s="83">
        <f t="shared" si="0"/>
        <v>0</v>
      </c>
      <c r="AE29" s="97">
        <f t="shared" si="1"/>
        <v>0</v>
      </c>
      <c r="AF29" s="415" t="str">
        <f t="shared" si="7"/>
        <v>NA</v>
      </c>
      <c r="AG29" s="420" t="str">
        <f>IFERROR(IF(AND(OR(AJ29="1a",AJ29="2a"),OR(AH29="Y",AI29="Y")),"Y",
IF(AND(OR(AJ29="1b",AJ29="2b"),AF29="Y"),"Y",
IF(AJ29="4","Y",
IF(AJ29="NA","NA",
"N")))),"NA")</f>
        <v>NA</v>
      </c>
      <c r="AH29" s="420" t="str">
        <f t="shared" si="2"/>
        <v>NA</v>
      </c>
      <c r="AI29" s="417" t="str">
        <f>IFERROR(IF(AE29=0,"NA",
IF(G29="Y",IF(AC29/R29-1&lt;=0.05,"Y","N"),"NA")),"NA")</f>
        <v>NA</v>
      </c>
      <c r="AJ29" s="417" t="str">
        <f t="shared" si="3"/>
        <v>NA</v>
      </c>
      <c r="AK29" s="524" t="str">
        <f>IFERROR(INDEX('Legacy Resident Reference'!R:R,MATCH('Unit Summary - Rent Roll'!AJ29,'Legacy Resident Reference'!P:P,0)),"NA")</f>
        <v>NA</v>
      </c>
    </row>
    <row r="30" spans="2:42" ht="13.8" x14ac:dyDescent="0.3">
      <c r="B30" s="236">
        <v>4</v>
      </c>
      <c r="C30" s="580" t="s">
        <v>143</v>
      </c>
      <c r="D30" s="581"/>
      <c r="E30" s="186" t="s">
        <v>139</v>
      </c>
      <c r="F30" s="187">
        <v>0</v>
      </c>
      <c r="G30" s="239" t="s">
        <v>85</v>
      </c>
      <c r="H30" s="243">
        <v>0</v>
      </c>
      <c r="I30" s="374">
        <f>F30*H30</f>
        <v>0</v>
      </c>
      <c r="J30" s="250" t="s">
        <v>139</v>
      </c>
      <c r="K30" s="508" t="s">
        <v>139</v>
      </c>
      <c r="L30" s="399" t="s">
        <v>139</v>
      </c>
      <c r="M30" s="403">
        <v>0</v>
      </c>
      <c r="N30" s="282" t="s">
        <v>139</v>
      </c>
      <c r="O30" s="302" t="str">
        <f>IF(OR(M30=0,N30="NA"),"NA",IFERROR(INDEX('Data - Reference'!$B$37:$B$50,MATCH('Unit Summary - Rent Roll'!$M30,INDEX('Data - Reference'!$B$37:$J$50,,MATCH('Unit Summary - Rent Roll'!$N30,'Data - Reference'!$B$37:$J$37,0)),-1),1),"NA"))</f>
        <v>NA</v>
      </c>
      <c r="P30" s="239" t="s">
        <v>85</v>
      </c>
      <c r="Q30" s="239" t="s">
        <v>85</v>
      </c>
      <c r="R30" s="188">
        <v>0</v>
      </c>
      <c r="S30" s="364">
        <f>IFERROR(R30/$F30,0)</f>
        <v>0</v>
      </c>
      <c r="T30" s="97">
        <f>IF(G30="Y",R30*$H30*12,0)</f>
        <v>0</v>
      </c>
      <c r="U30" s="188">
        <v>0</v>
      </c>
      <c r="V30" s="364">
        <f>IFERROR(U30/$F30,0)</f>
        <v>0</v>
      </c>
      <c r="W30" s="97">
        <f>U30*$H30*12</f>
        <v>0</v>
      </c>
      <c r="X30" s="71">
        <f>IFERROR(IF(INDEX(AC$14:AC$18,MATCH($E30,$AB$14:$AB$18,0))&lt;&gt;0,INDEX(AC$14:AC$18,MATCH($E30,$AB$14:$AB$18,0)),
IF($M30="Market",0,IF($L30="HUD FMR",INDEX('Data - Reference'!$B$31:$G$31,MATCH($E30,'Data - Reference'!$B$9:$G$9,0)),INDEX('Data - Reference'!$B$9:$G$31,MATCH($K30,'Data - Reference'!$B$9:$B$31,0),MATCH($E30,'Data - Reference'!$B$9:$G$9,0))))),0)</f>
        <v>0</v>
      </c>
      <c r="Y30" s="71">
        <f>IFERROR(IF(INDEX(AD$14:AD$18,MATCH($E30,$AB$14:$AB$18,0))&lt;&gt;0,INDEX(AD$14:AD$18,MATCH($E30,$AB$14:$AB$18,0)),
IF($K30="None - Market",0,-INDEX('Data - Reference'!$B$32:$G$32,MATCH($E30,'Data - Reference'!$B$9:$G$9,0)))),0)</f>
        <v>0</v>
      </c>
      <c r="Z30" s="74">
        <f t="shared" si="6"/>
        <v>0</v>
      </c>
      <c r="AA30" s="67">
        <f>IFERROR(Z30/$F30,0)</f>
        <v>0</v>
      </c>
      <c r="AB30" s="97">
        <f>Z30*$H30*12</f>
        <v>0</v>
      </c>
      <c r="AC30" s="82">
        <f>IF(AND($R30=$U30,$R30&gt;0,$U30&gt;0,$Z30&gt;0),MIN($R30,$U30,$Z30),
IF(AND($R30&lt;$U30,$Z30&gt;0),MIN($U30,$Z30),
$U30))</f>
        <v>0</v>
      </c>
      <c r="AD30" s="83">
        <f t="shared" si="0"/>
        <v>0</v>
      </c>
      <c r="AE30" s="97">
        <f t="shared" si="1"/>
        <v>0</v>
      </c>
      <c r="AF30" s="415" t="str">
        <f t="shared" si="7"/>
        <v>NA</v>
      </c>
      <c r="AG30" s="420" t="str">
        <f>IFERROR(IF(AND(OR(AJ30="1a",AJ30="2a"),OR(AH30="Y",AI30="Y")),"Y",
IF(AND(OR(AJ30="1b",AJ30="2b"),AF30="Y"),"Y",
IF(AJ30="4","Y",
IF(AJ30="NA","NA",
"N")))),"NA")</f>
        <v>NA</v>
      </c>
      <c r="AH30" s="420" t="str">
        <f t="shared" si="2"/>
        <v>NA</v>
      </c>
      <c r="AI30" s="417" t="str">
        <f t="shared" si="4"/>
        <v>NA</v>
      </c>
      <c r="AJ30" s="417" t="str">
        <f t="shared" si="3"/>
        <v>NA</v>
      </c>
      <c r="AK30" s="524" t="str">
        <f>IFERROR(INDEX('Legacy Resident Reference'!R:R,MATCH('Unit Summary - Rent Roll'!AJ30,'Legacy Resident Reference'!P:P,0)),"NA")</f>
        <v>NA</v>
      </c>
    </row>
    <row r="31" spans="2:42" ht="13.8" x14ac:dyDescent="0.3">
      <c r="B31" s="236">
        <v>5</v>
      </c>
      <c r="C31" s="580" t="s">
        <v>143</v>
      </c>
      <c r="D31" s="581"/>
      <c r="E31" s="186" t="s">
        <v>139</v>
      </c>
      <c r="F31" s="187">
        <v>0</v>
      </c>
      <c r="G31" s="239" t="s">
        <v>85</v>
      </c>
      <c r="H31" s="243">
        <v>0</v>
      </c>
      <c r="I31" s="374">
        <f>F31*H31</f>
        <v>0</v>
      </c>
      <c r="J31" s="250" t="s">
        <v>139</v>
      </c>
      <c r="K31" s="508" t="s">
        <v>139</v>
      </c>
      <c r="L31" s="399" t="s">
        <v>139</v>
      </c>
      <c r="M31" s="403">
        <v>0</v>
      </c>
      <c r="N31" s="282" t="s">
        <v>139</v>
      </c>
      <c r="O31" s="302" t="str">
        <f>IF(OR(M31=0,N31="NA"),"NA",IFERROR(INDEX('Data - Reference'!$B$37:$B$50,MATCH('Unit Summary - Rent Roll'!$M31,INDEX('Data - Reference'!$B$37:$J$50,,MATCH('Unit Summary - Rent Roll'!$N31,'Data - Reference'!$B$37:$J$37,0)),-1),1),"NA"))</f>
        <v>NA</v>
      </c>
      <c r="P31" s="239" t="s">
        <v>85</v>
      </c>
      <c r="Q31" s="239" t="s">
        <v>85</v>
      </c>
      <c r="R31" s="188">
        <v>0</v>
      </c>
      <c r="S31" s="364">
        <f>IFERROR(R31/$F31,0)</f>
        <v>0</v>
      </c>
      <c r="T31" s="97">
        <f>IF(G31="Y",R31*$H31*12,0)</f>
        <v>0</v>
      </c>
      <c r="U31" s="188">
        <v>0</v>
      </c>
      <c r="V31" s="364">
        <f>IFERROR(U31/$F31,0)</f>
        <v>0</v>
      </c>
      <c r="W31" s="97">
        <f>U31*$H31*12</f>
        <v>0</v>
      </c>
      <c r="X31" s="71">
        <f>IFERROR(IF(INDEX(AC$14:AC$18,MATCH($E31,$AB$14:$AB$18,0))&lt;&gt;0,INDEX(AC$14:AC$18,MATCH($E31,$AB$14:$AB$18,0)),
IF($M31="Market",0,IF($L31="HUD FMR",INDEX('Data - Reference'!$B$31:$G$31,MATCH($E31,'Data - Reference'!$B$9:$G$9,0)),INDEX('Data - Reference'!$B$9:$G$31,MATCH($K31,'Data - Reference'!$B$9:$B$31,0),MATCH($E31,'Data - Reference'!$B$9:$G$9,0))))),0)</f>
        <v>0</v>
      </c>
      <c r="Y31" s="71">
        <f>IFERROR(IF(INDEX(AD$14:AD$18,MATCH($E31,$AB$14:$AB$18,0))&lt;&gt;0,INDEX(AD$14:AD$18,MATCH($E31,$AB$14:$AB$18,0)),
IF($K31="None - Market",0,-INDEX('Data - Reference'!$B$32:$G$32,MATCH($E31,'Data - Reference'!$B$9:$G$9,0)))),0)</f>
        <v>0</v>
      </c>
      <c r="Z31" s="74">
        <f t="shared" si="6"/>
        <v>0</v>
      </c>
      <c r="AA31" s="67">
        <f>IFERROR(Z31/$F31,0)</f>
        <v>0</v>
      </c>
      <c r="AB31" s="97">
        <f>Z31*$H31*12</f>
        <v>0</v>
      </c>
      <c r="AC31" s="82">
        <f>IF(AND($R31=$U31,$R31&gt;0,$U31&gt;0,$Z31&gt;0),MIN($R31,$U31,$Z31),
IF(AND($R31&lt;$U31,$Z31&gt;0),MIN($U31,$Z31),
$U31))</f>
        <v>0</v>
      </c>
      <c r="AD31" s="83">
        <f t="shared" si="0"/>
        <v>0</v>
      </c>
      <c r="AE31" s="97">
        <f t="shared" si="1"/>
        <v>0</v>
      </c>
      <c r="AF31" s="415" t="str">
        <f t="shared" si="7"/>
        <v>NA</v>
      </c>
      <c r="AG31" s="420" t="str">
        <f>IFERROR(IF(AND(OR(AJ31="1a",AJ31="2a"),OR(AH31="Y",AI31="Y")),"Y",
IF(AND(OR(AJ31="1b",AJ31="2b"),AF31="Y"),"Y",
IF(AJ31="4","Y",
IF(AJ31="NA","NA",
"N")))),"NA")</f>
        <v>NA</v>
      </c>
      <c r="AH31" s="420" t="str">
        <f t="shared" si="2"/>
        <v>NA</v>
      </c>
      <c r="AI31" s="417" t="str">
        <f>IFERROR(IF(AE31=0,"NA",
IF(G31="Y",IF(AC31/R31-1&lt;=0.05,"Y","N"),"NA")),"NA")</f>
        <v>NA</v>
      </c>
      <c r="AJ31" s="417" t="str">
        <f t="shared" si="3"/>
        <v>NA</v>
      </c>
      <c r="AK31" s="524" t="str">
        <f>IFERROR(INDEX('Legacy Resident Reference'!R:R,MATCH('Unit Summary - Rent Roll'!AJ31,'Legacy Resident Reference'!P:P,0)),"NA")</f>
        <v>NA</v>
      </c>
    </row>
    <row r="32" spans="2:42" ht="13.8" x14ac:dyDescent="0.3">
      <c r="B32" s="236">
        <v>6</v>
      </c>
      <c r="C32" s="580" t="s">
        <v>143</v>
      </c>
      <c r="D32" s="581"/>
      <c r="E32" s="186" t="s">
        <v>139</v>
      </c>
      <c r="F32" s="187">
        <v>0</v>
      </c>
      <c r="G32" s="239" t="s">
        <v>85</v>
      </c>
      <c r="H32" s="243">
        <v>0</v>
      </c>
      <c r="I32" s="374">
        <f t="shared" ref="I32:I95" si="8">F32*H32</f>
        <v>0</v>
      </c>
      <c r="J32" s="250" t="s">
        <v>139</v>
      </c>
      <c r="K32" s="508" t="s">
        <v>139</v>
      </c>
      <c r="L32" s="399" t="s">
        <v>139</v>
      </c>
      <c r="M32" s="403">
        <v>0</v>
      </c>
      <c r="N32" s="282" t="s">
        <v>139</v>
      </c>
      <c r="O32" s="302" t="str">
        <f>IF(OR(M32=0,N32="NA"),"NA",IFERROR(INDEX('Data - Reference'!$B$37:$B$50,MATCH('Unit Summary - Rent Roll'!$M32,INDEX('Data - Reference'!$B$37:$J$50,,MATCH('Unit Summary - Rent Roll'!$N32,'Data - Reference'!$B$37:$J$37,0)),-1),1),"NA"))</f>
        <v>NA</v>
      </c>
      <c r="P32" s="239" t="s">
        <v>85</v>
      </c>
      <c r="Q32" s="239" t="s">
        <v>85</v>
      </c>
      <c r="R32" s="188">
        <v>0</v>
      </c>
      <c r="S32" s="364">
        <f t="shared" ref="S32:S95" si="9">IFERROR(R32/$F32,0)</f>
        <v>0</v>
      </c>
      <c r="T32" s="97">
        <f t="shared" ref="T32:T95" si="10">IF(G32="Y",R32*$H32*12,0)</f>
        <v>0</v>
      </c>
      <c r="U32" s="188">
        <v>0</v>
      </c>
      <c r="V32" s="364">
        <f t="shared" ref="V32:V95" si="11">IFERROR(U32/$F32,0)</f>
        <v>0</v>
      </c>
      <c r="W32" s="97">
        <f t="shared" ref="W32:W95" si="12">U32*$H32*12</f>
        <v>0</v>
      </c>
      <c r="X32" s="71">
        <f>IFERROR(IF(INDEX(AC$14:AC$18,MATCH($E32,$AB$14:$AB$18,0))&lt;&gt;0,INDEX(AC$14:AC$18,MATCH($E32,$AB$14:$AB$18,0)),
IF($M32="Market",0,IF($L32="HUD FMR",INDEX('Data - Reference'!$B$31:$G$31,MATCH($E32,'Data - Reference'!$B$9:$G$9,0)),INDEX('Data - Reference'!$B$9:$G$31,MATCH($K32,'Data - Reference'!$B$9:$B$31,0),MATCH($E32,'Data - Reference'!$B$9:$G$9,0))))),0)</f>
        <v>0</v>
      </c>
      <c r="Y32" s="71">
        <f>IFERROR(IF(INDEX(AD$14:AD$18,MATCH($E32,$AB$14:$AB$18,0))&lt;&gt;0,INDEX(AD$14:AD$18,MATCH($E32,$AB$14:$AB$18,0)),
IF($K32="None - Market",0,-INDEX('Data - Reference'!$B$32:$G$32,MATCH($E32,'Data - Reference'!$B$9:$G$9,0)))),0)</f>
        <v>0</v>
      </c>
      <c r="Z32" s="74">
        <f t="shared" si="6"/>
        <v>0</v>
      </c>
      <c r="AA32" s="67">
        <f t="shared" ref="AA32:AA95" si="13">IFERROR(Z32/$F32,0)</f>
        <v>0</v>
      </c>
      <c r="AB32" s="97">
        <f t="shared" ref="AB32:AB95" si="14">Z32*$H32*12</f>
        <v>0</v>
      </c>
      <c r="AC32" s="82">
        <f t="shared" si="5"/>
        <v>0</v>
      </c>
      <c r="AD32" s="83">
        <f t="shared" ref="AD32:AD95" si="15">IFERROR(AC32/$F32,0)</f>
        <v>0</v>
      </c>
      <c r="AE32" s="97">
        <f t="shared" ref="AE32:AE95" si="16">AC32*$H32*12</f>
        <v>0</v>
      </c>
      <c r="AF32" s="415" t="str">
        <f t="shared" si="7"/>
        <v>NA</v>
      </c>
      <c r="AG32" s="420" t="str">
        <f t="shared" ref="AG32:AG95" si="17">IFERROR(IF(AND(OR(AJ32="1a",AJ32="2a"),OR(AH32="Y",AI32="Y")),"Y",
IF(AND(OR(AJ32="1b",AJ32="2b"),AF32="Y"),"Y",
IF(AJ32="4","Y",
IF(AJ32="NA","NA",
"N")))),"NA")</f>
        <v>NA</v>
      </c>
      <c r="AH32" s="420" t="str">
        <f t="shared" ref="AH32:AH95" si="18">IFERROR(IF(OR(G32="N",AE32=0),"NA",
IF(M32=0,"Input Current Household Income",
IF(G32="Y",IF(OR(J32="PBV - Income-Restricted",J32="PBRA - Income-Restricted",(U32-Y32)&lt;=M32/12*0.3),"Y","N"),"NA"))),"NA")</f>
        <v>NA</v>
      </c>
      <c r="AI32" s="417" t="str">
        <f t="shared" si="4"/>
        <v>NA</v>
      </c>
      <c r="AJ32" s="417" t="str">
        <f t="shared" ref="AJ32:AJ95" si="19">IFERROR(IF(G32="N","NA",
(IF(AND(J32="Market",O32&gt;80%),"4",
IF(AND(O32&lt;=K32,O32&lt;=80%),"1a",
IF(AND(O32&lt;=K32,O32&gt;80%,O32&lt;=120%),"1b",
IF(AND(O32&gt;K32,O32&lt;=80%),"2a",
IF(AND(O32&gt;80%,O32&lt;=120%,O32-K32&lt;=20%),"2b",
IF(AND(O32&gt;80%,O32&lt;=120%,O32-K32&gt;20%),"3a",
IF(OR(M32=0,O32&gt;120%),"3b",
"Other"))))))))),"NA")</f>
        <v>NA</v>
      </c>
      <c r="AK32" s="524" t="str">
        <f>IFERROR(INDEX('Legacy Resident Reference'!R:R,MATCH('Unit Summary - Rent Roll'!AJ32,'Legacy Resident Reference'!P:P,0)),"NA")</f>
        <v>NA</v>
      </c>
    </row>
    <row r="33" spans="2:37" ht="13.8" x14ac:dyDescent="0.3">
      <c r="B33" s="236">
        <v>7</v>
      </c>
      <c r="C33" s="580" t="s">
        <v>143</v>
      </c>
      <c r="D33" s="581"/>
      <c r="E33" s="186" t="s">
        <v>139</v>
      </c>
      <c r="F33" s="187">
        <v>0</v>
      </c>
      <c r="G33" s="239" t="s">
        <v>85</v>
      </c>
      <c r="H33" s="243">
        <v>0</v>
      </c>
      <c r="I33" s="373">
        <f t="shared" si="8"/>
        <v>0</v>
      </c>
      <c r="J33" s="250" t="s">
        <v>139</v>
      </c>
      <c r="K33" s="508" t="s">
        <v>139</v>
      </c>
      <c r="L33" s="399" t="s">
        <v>139</v>
      </c>
      <c r="M33" s="403">
        <v>0</v>
      </c>
      <c r="N33" s="282" t="s">
        <v>139</v>
      </c>
      <c r="O33" s="302" t="str">
        <f>IF(OR(M33=0,N33="NA"),"NA",IFERROR(INDEX('Data - Reference'!$B$37:$B$50,MATCH('Unit Summary - Rent Roll'!$M33,INDEX('Data - Reference'!$B$37:$J$50,,MATCH('Unit Summary - Rent Roll'!$N33,'Data - Reference'!$B$37:$J$37,0)),-1),1),"NA"))</f>
        <v>NA</v>
      </c>
      <c r="P33" s="239" t="s">
        <v>85</v>
      </c>
      <c r="Q33" s="239" t="s">
        <v>85</v>
      </c>
      <c r="R33" s="188">
        <v>0</v>
      </c>
      <c r="S33" s="364">
        <f t="shared" si="9"/>
        <v>0</v>
      </c>
      <c r="T33" s="97">
        <f t="shared" si="10"/>
        <v>0</v>
      </c>
      <c r="U33" s="188">
        <v>0</v>
      </c>
      <c r="V33" s="364">
        <f t="shared" si="11"/>
        <v>0</v>
      </c>
      <c r="W33" s="97">
        <f t="shared" si="12"/>
        <v>0</v>
      </c>
      <c r="X33" s="71">
        <f>IFERROR(IF(INDEX(AC$14:AC$18,MATCH($E33,$AB$14:$AB$18,0))&lt;&gt;0,INDEX(AC$14:AC$18,MATCH($E33,$AB$14:$AB$18,0)),
IF($M33="Market",0,IF($L33="HUD FMR",INDEX('Data - Reference'!$B$31:$G$31,MATCH($E33,'Data - Reference'!$B$9:$G$9,0)),INDEX('Data - Reference'!$B$9:$G$31,MATCH($K33,'Data - Reference'!$B$9:$B$31,0),MATCH($E33,'Data - Reference'!$B$9:$G$9,0))))),0)</f>
        <v>0</v>
      </c>
      <c r="Y33" s="71">
        <f>IFERROR(IF(INDEX(AD$14:AD$18,MATCH($E33,$AB$14:$AB$18,0))&lt;&gt;0,INDEX(AD$14:AD$18,MATCH($E33,$AB$14:$AB$18,0)),
IF($K33="None - Market",0,-INDEX('Data - Reference'!$B$32:$G$32,MATCH($E33,'Data - Reference'!$B$9:$G$9,0)))),0)</f>
        <v>0</v>
      </c>
      <c r="Z33" s="74">
        <f t="shared" si="6"/>
        <v>0</v>
      </c>
      <c r="AA33" s="67">
        <f t="shared" si="13"/>
        <v>0</v>
      </c>
      <c r="AB33" s="97">
        <f t="shared" si="14"/>
        <v>0</v>
      </c>
      <c r="AC33" s="82">
        <f t="shared" si="5"/>
        <v>0</v>
      </c>
      <c r="AD33" s="83">
        <f t="shared" si="15"/>
        <v>0</v>
      </c>
      <c r="AE33" s="97">
        <f t="shared" si="16"/>
        <v>0</v>
      </c>
      <c r="AF33" s="415" t="str">
        <f t="shared" si="7"/>
        <v>NA</v>
      </c>
      <c r="AG33" s="420" t="str">
        <f t="shared" si="17"/>
        <v>NA</v>
      </c>
      <c r="AH33" s="420" t="str">
        <f t="shared" si="18"/>
        <v>NA</v>
      </c>
      <c r="AI33" s="417" t="str">
        <f t="shared" si="4"/>
        <v>NA</v>
      </c>
      <c r="AJ33" s="417" t="str">
        <f t="shared" si="19"/>
        <v>NA</v>
      </c>
      <c r="AK33" s="524" t="str">
        <f>IFERROR(INDEX('Legacy Resident Reference'!R:R,MATCH('Unit Summary - Rent Roll'!AJ33,'Legacy Resident Reference'!P:P,0)),"NA")</f>
        <v>NA</v>
      </c>
    </row>
    <row r="34" spans="2:37" ht="13.8" x14ac:dyDescent="0.3">
      <c r="B34" s="236">
        <v>8</v>
      </c>
      <c r="C34" s="580" t="s">
        <v>143</v>
      </c>
      <c r="D34" s="581"/>
      <c r="E34" s="186" t="s">
        <v>139</v>
      </c>
      <c r="F34" s="187">
        <v>0</v>
      </c>
      <c r="G34" s="239" t="s">
        <v>85</v>
      </c>
      <c r="H34" s="243">
        <v>0</v>
      </c>
      <c r="I34" s="373">
        <f t="shared" si="8"/>
        <v>0</v>
      </c>
      <c r="J34" s="250" t="s">
        <v>139</v>
      </c>
      <c r="K34" s="508" t="s">
        <v>139</v>
      </c>
      <c r="L34" s="399" t="s">
        <v>139</v>
      </c>
      <c r="M34" s="403">
        <v>0</v>
      </c>
      <c r="N34" s="282" t="s">
        <v>139</v>
      </c>
      <c r="O34" s="302" t="str">
        <f>IF(OR(M34=0,N34="NA"),"NA",IFERROR(INDEX('Data - Reference'!$B$37:$B$50,MATCH('Unit Summary - Rent Roll'!$M34,INDEX('Data - Reference'!$B$37:$J$50,,MATCH('Unit Summary - Rent Roll'!$N34,'Data - Reference'!$B$37:$J$37,0)),-1),1),"NA"))</f>
        <v>NA</v>
      </c>
      <c r="P34" s="239" t="s">
        <v>85</v>
      </c>
      <c r="Q34" s="239" t="s">
        <v>85</v>
      </c>
      <c r="R34" s="188">
        <v>0</v>
      </c>
      <c r="S34" s="364">
        <f t="shared" si="9"/>
        <v>0</v>
      </c>
      <c r="T34" s="97">
        <f t="shared" si="10"/>
        <v>0</v>
      </c>
      <c r="U34" s="188">
        <v>0</v>
      </c>
      <c r="V34" s="364">
        <f t="shared" si="11"/>
        <v>0</v>
      </c>
      <c r="W34" s="97">
        <f t="shared" si="12"/>
        <v>0</v>
      </c>
      <c r="X34" s="71">
        <f>IFERROR(IF(INDEX(AC$14:AC$18,MATCH($E34,$AB$14:$AB$18,0))&lt;&gt;0,INDEX(AC$14:AC$18,MATCH($E34,$AB$14:$AB$18,0)),
IF($M34="Market",0,IF($L34="HUD FMR",INDEX('Data - Reference'!$B$31:$G$31,MATCH($E34,'Data - Reference'!$B$9:$G$9,0)),INDEX('Data - Reference'!$B$9:$G$31,MATCH($K34,'Data - Reference'!$B$9:$B$31,0),MATCH($E34,'Data - Reference'!$B$9:$G$9,0))))),0)</f>
        <v>0</v>
      </c>
      <c r="Y34" s="71">
        <f>IFERROR(IF(INDEX(AD$14:AD$18,MATCH($E34,$AB$14:$AB$18,0))&lt;&gt;0,INDEX(AD$14:AD$18,MATCH($E34,$AB$14:$AB$18,0)),
IF($K34="None - Market",0,-INDEX('Data - Reference'!$B$32:$G$32,MATCH($E34,'Data - Reference'!$B$9:$G$9,0)))),0)</f>
        <v>0</v>
      </c>
      <c r="Z34" s="74">
        <f t="shared" si="6"/>
        <v>0</v>
      </c>
      <c r="AA34" s="67">
        <f t="shared" si="13"/>
        <v>0</v>
      </c>
      <c r="AB34" s="97">
        <f t="shared" si="14"/>
        <v>0</v>
      </c>
      <c r="AC34" s="82">
        <f t="shared" si="5"/>
        <v>0</v>
      </c>
      <c r="AD34" s="83">
        <f t="shared" si="15"/>
        <v>0</v>
      </c>
      <c r="AE34" s="97">
        <f t="shared" si="16"/>
        <v>0</v>
      </c>
      <c r="AF34" s="415" t="str">
        <f t="shared" si="7"/>
        <v>NA</v>
      </c>
      <c r="AG34" s="420" t="str">
        <f t="shared" si="17"/>
        <v>NA</v>
      </c>
      <c r="AH34" s="420" t="str">
        <f t="shared" si="18"/>
        <v>NA</v>
      </c>
      <c r="AI34" s="417" t="str">
        <f t="shared" si="4"/>
        <v>NA</v>
      </c>
      <c r="AJ34" s="417" t="str">
        <f t="shared" si="19"/>
        <v>NA</v>
      </c>
      <c r="AK34" s="524" t="str">
        <f>IFERROR(INDEX('Legacy Resident Reference'!R:R,MATCH('Unit Summary - Rent Roll'!AJ34,'Legacy Resident Reference'!P:P,0)),"NA")</f>
        <v>NA</v>
      </c>
    </row>
    <row r="35" spans="2:37" ht="13.8" x14ac:dyDescent="0.3">
      <c r="B35" s="236">
        <v>9</v>
      </c>
      <c r="C35" s="580" t="s">
        <v>143</v>
      </c>
      <c r="D35" s="581"/>
      <c r="E35" s="186" t="s">
        <v>139</v>
      </c>
      <c r="F35" s="187">
        <v>0</v>
      </c>
      <c r="G35" s="239" t="s">
        <v>85</v>
      </c>
      <c r="H35" s="243">
        <v>0</v>
      </c>
      <c r="I35" s="373">
        <f t="shared" si="8"/>
        <v>0</v>
      </c>
      <c r="J35" s="250" t="s">
        <v>139</v>
      </c>
      <c r="K35" s="508" t="s">
        <v>139</v>
      </c>
      <c r="L35" s="399" t="s">
        <v>139</v>
      </c>
      <c r="M35" s="403">
        <v>0</v>
      </c>
      <c r="N35" s="282" t="s">
        <v>139</v>
      </c>
      <c r="O35" s="302" t="str">
        <f>IF(OR(M35=0,N35="NA"),"NA",IFERROR(INDEX('Data - Reference'!$B$37:$B$50,MATCH('Unit Summary - Rent Roll'!$M35,INDEX('Data - Reference'!$B$37:$J$50,,MATCH('Unit Summary - Rent Roll'!$N35,'Data - Reference'!$B$37:$J$37,0)),-1),1),"NA"))</f>
        <v>NA</v>
      </c>
      <c r="P35" s="239" t="s">
        <v>85</v>
      </c>
      <c r="Q35" s="239" t="s">
        <v>85</v>
      </c>
      <c r="R35" s="188">
        <v>0</v>
      </c>
      <c r="S35" s="364">
        <f t="shared" si="9"/>
        <v>0</v>
      </c>
      <c r="T35" s="97">
        <f t="shared" si="10"/>
        <v>0</v>
      </c>
      <c r="U35" s="188">
        <v>0</v>
      </c>
      <c r="V35" s="364">
        <f t="shared" si="11"/>
        <v>0</v>
      </c>
      <c r="W35" s="97">
        <f t="shared" si="12"/>
        <v>0</v>
      </c>
      <c r="X35" s="71">
        <f>IFERROR(IF(INDEX(AC$14:AC$18,MATCH($E35,$AB$14:$AB$18,0))&lt;&gt;0,INDEX(AC$14:AC$18,MATCH($E35,$AB$14:$AB$18,0)),
IF($M35="Market",0,IF($L35="HUD FMR",INDEX('Data - Reference'!$B$31:$G$31,MATCH($E35,'Data - Reference'!$B$9:$G$9,0)),INDEX('Data - Reference'!$B$9:$G$31,MATCH($K35,'Data - Reference'!$B$9:$B$31,0),MATCH($E35,'Data - Reference'!$B$9:$G$9,0))))),0)</f>
        <v>0</v>
      </c>
      <c r="Y35" s="71">
        <f>IFERROR(IF(INDEX(AD$14:AD$18,MATCH($E35,$AB$14:$AB$18,0))&lt;&gt;0,INDEX(AD$14:AD$18,MATCH($E35,$AB$14:$AB$18,0)),
IF($K35="None - Market",0,-INDEX('Data - Reference'!$B$32:$G$32,MATCH($E35,'Data - Reference'!$B$9:$G$9,0)))),0)</f>
        <v>0</v>
      </c>
      <c r="Z35" s="74">
        <f t="shared" si="6"/>
        <v>0</v>
      </c>
      <c r="AA35" s="67">
        <f t="shared" si="13"/>
        <v>0</v>
      </c>
      <c r="AB35" s="97">
        <f t="shared" si="14"/>
        <v>0</v>
      </c>
      <c r="AC35" s="82">
        <f t="shared" si="5"/>
        <v>0</v>
      </c>
      <c r="AD35" s="83">
        <f t="shared" si="15"/>
        <v>0</v>
      </c>
      <c r="AE35" s="97">
        <f t="shared" si="16"/>
        <v>0</v>
      </c>
      <c r="AF35" s="415" t="str">
        <f t="shared" si="7"/>
        <v>NA</v>
      </c>
      <c r="AG35" s="420" t="str">
        <f t="shared" si="17"/>
        <v>NA</v>
      </c>
      <c r="AH35" s="420" t="str">
        <f t="shared" si="18"/>
        <v>NA</v>
      </c>
      <c r="AI35" s="417" t="str">
        <f t="shared" si="4"/>
        <v>NA</v>
      </c>
      <c r="AJ35" s="417" t="str">
        <f t="shared" si="19"/>
        <v>NA</v>
      </c>
      <c r="AK35" s="524" t="str">
        <f>IFERROR(INDEX('Legacy Resident Reference'!R:R,MATCH('Unit Summary - Rent Roll'!AJ35,'Legacy Resident Reference'!P:P,0)),"NA")</f>
        <v>NA</v>
      </c>
    </row>
    <row r="36" spans="2:37" ht="13.8" x14ac:dyDescent="0.3">
      <c r="B36" s="236">
        <v>10</v>
      </c>
      <c r="C36" s="580" t="s">
        <v>143</v>
      </c>
      <c r="D36" s="581"/>
      <c r="E36" s="186" t="s">
        <v>139</v>
      </c>
      <c r="F36" s="187">
        <v>0</v>
      </c>
      <c r="G36" s="239" t="s">
        <v>85</v>
      </c>
      <c r="H36" s="243">
        <v>0</v>
      </c>
      <c r="I36" s="373">
        <f t="shared" si="8"/>
        <v>0</v>
      </c>
      <c r="J36" s="250" t="s">
        <v>139</v>
      </c>
      <c r="K36" s="508" t="s">
        <v>139</v>
      </c>
      <c r="L36" s="399" t="s">
        <v>139</v>
      </c>
      <c r="M36" s="403">
        <v>0</v>
      </c>
      <c r="N36" s="282" t="s">
        <v>139</v>
      </c>
      <c r="O36" s="302" t="str">
        <f>IF(OR(M36=0,N36="NA"),"NA",IFERROR(INDEX('Data - Reference'!$B$37:$B$50,MATCH('Unit Summary - Rent Roll'!$M36,INDEX('Data - Reference'!$B$37:$J$50,,MATCH('Unit Summary - Rent Roll'!$N36,'Data - Reference'!$B$37:$J$37,0)),-1),1),"NA"))</f>
        <v>NA</v>
      </c>
      <c r="P36" s="239" t="s">
        <v>85</v>
      </c>
      <c r="Q36" s="239" t="s">
        <v>85</v>
      </c>
      <c r="R36" s="188">
        <v>0</v>
      </c>
      <c r="S36" s="364">
        <f t="shared" si="9"/>
        <v>0</v>
      </c>
      <c r="T36" s="97">
        <f t="shared" si="10"/>
        <v>0</v>
      </c>
      <c r="U36" s="188">
        <v>0</v>
      </c>
      <c r="V36" s="364">
        <f t="shared" si="11"/>
        <v>0</v>
      </c>
      <c r="W36" s="97">
        <f t="shared" si="12"/>
        <v>0</v>
      </c>
      <c r="X36" s="71">
        <f>IFERROR(IF(INDEX(AC$14:AC$18,MATCH($E36,$AB$14:$AB$18,0))&lt;&gt;0,INDEX(AC$14:AC$18,MATCH($E36,$AB$14:$AB$18,0)),
IF($M36="Market",0,IF($L36="HUD FMR",INDEX('Data - Reference'!$B$31:$G$31,MATCH($E36,'Data - Reference'!$B$9:$G$9,0)),INDEX('Data - Reference'!$B$9:$G$31,MATCH($K36,'Data - Reference'!$B$9:$B$31,0),MATCH($E36,'Data - Reference'!$B$9:$G$9,0))))),0)</f>
        <v>0</v>
      </c>
      <c r="Y36" s="71">
        <f>IFERROR(IF(INDEX(AD$14:AD$18,MATCH($E36,$AB$14:$AB$18,0))&lt;&gt;0,INDEX(AD$14:AD$18,MATCH($E36,$AB$14:$AB$18,0)),
IF($K36="None - Market",0,-INDEX('Data - Reference'!$B$32:$G$32,MATCH($E36,'Data - Reference'!$B$9:$G$9,0)))),0)</f>
        <v>0</v>
      </c>
      <c r="Z36" s="74">
        <f t="shared" si="6"/>
        <v>0</v>
      </c>
      <c r="AA36" s="67">
        <f t="shared" si="13"/>
        <v>0</v>
      </c>
      <c r="AB36" s="97">
        <f t="shared" si="14"/>
        <v>0</v>
      </c>
      <c r="AC36" s="82">
        <f t="shared" si="5"/>
        <v>0</v>
      </c>
      <c r="AD36" s="83">
        <f t="shared" si="15"/>
        <v>0</v>
      </c>
      <c r="AE36" s="97">
        <f t="shared" si="16"/>
        <v>0</v>
      </c>
      <c r="AF36" s="415" t="str">
        <f t="shared" si="7"/>
        <v>NA</v>
      </c>
      <c r="AG36" s="420" t="str">
        <f t="shared" si="17"/>
        <v>NA</v>
      </c>
      <c r="AH36" s="420" t="str">
        <f t="shared" si="18"/>
        <v>NA</v>
      </c>
      <c r="AI36" s="417" t="str">
        <f t="shared" si="4"/>
        <v>NA</v>
      </c>
      <c r="AJ36" s="417" t="str">
        <f t="shared" si="19"/>
        <v>NA</v>
      </c>
      <c r="AK36" s="524" t="str">
        <f>IFERROR(INDEX('Legacy Resident Reference'!R:R,MATCH('Unit Summary - Rent Roll'!AJ36,'Legacy Resident Reference'!P:P,0)),"NA")</f>
        <v>NA</v>
      </c>
    </row>
    <row r="37" spans="2:37" ht="13.8" x14ac:dyDescent="0.3">
      <c r="B37" s="236">
        <v>11</v>
      </c>
      <c r="C37" s="580" t="s">
        <v>143</v>
      </c>
      <c r="D37" s="581"/>
      <c r="E37" s="186" t="s">
        <v>139</v>
      </c>
      <c r="F37" s="187">
        <v>0</v>
      </c>
      <c r="G37" s="239" t="s">
        <v>85</v>
      </c>
      <c r="H37" s="243">
        <v>0</v>
      </c>
      <c r="I37" s="373">
        <f t="shared" si="8"/>
        <v>0</v>
      </c>
      <c r="J37" s="250" t="s">
        <v>139</v>
      </c>
      <c r="K37" s="508" t="s">
        <v>139</v>
      </c>
      <c r="L37" s="399" t="s">
        <v>139</v>
      </c>
      <c r="M37" s="403">
        <v>0</v>
      </c>
      <c r="N37" s="282" t="s">
        <v>139</v>
      </c>
      <c r="O37" s="302" t="str">
        <f>IF(OR(M37=0,N37="NA"),"NA",IFERROR(INDEX('Data - Reference'!$B$37:$B$50,MATCH('Unit Summary - Rent Roll'!$M37,INDEX('Data - Reference'!$B$37:$J$50,,MATCH('Unit Summary - Rent Roll'!$N37,'Data - Reference'!$B$37:$J$37,0)),-1),1),"NA"))</f>
        <v>NA</v>
      </c>
      <c r="P37" s="239" t="s">
        <v>85</v>
      </c>
      <c r="Q37" s="239" t="s">
        <v>85</v>
      </c>
      <c r="R37" s="188">
        <v>0</v>
      </c>
      <c r="S37" s="364">
        <f t="shared" si="9"/>
        <v>0</v>
      </c>
      <c r="T37" s="97">
        <f t="shared" si="10"/>
        <v>0</v>
      </c>
      <c r="U37" s="188">
        <v>0</v>
      </c>
      <c r="V37" s="364">
        <f t="shared" si="11"/>
        <v>0</v>
      </c>
      <c r="W37" s="97">
        <f t="shared" si="12"/>
        <v>0</v>
      </c>
      <c r="X37" s="71">
        <f>IFERROR(IF(INDEX(AC$14:AC$18,MATCH($E37,$AB$14:$AB$18,0))&lt;&gt;0,INDEX(AC$14:AC$18,MATCH($E37,$AB$14:$AB$18,0)),
IF($M37="Market",0,IF($L37="HUD FMR",INDEX('Data - Reference'!$B$31:$G$31,MATCH($E37,'Data - Reference'!$B$9:$G$9,0)),INDEX('Data - Reference'!$B$9:$G$31,MATCH($K37,'Data - Reference'!$B$9:$B$31,0),MATCH($E37,'Data - Reference'!$B$9:$G$9,0))))),0)</f>
        <v>0</v>
      </c>
      <c r="Y37" s="71">
        <f>IFERROR(IF(INDEX(AD$14:AD$18,MATCH($E37,$AB$14:$AB$18,0))&lt;&gt;0,INDEX(AD$14:AD$18,MATCH($E37,$AB$14:$AB$18,0)),
IF($K37="None - Market",0,-INDEX('Data - Reference'!$B$32:$G$32,MATCH($E37,'Data - Reference'!$B$9:$G$9,0)))),0)</f>
        <v>0</v>
      </c>
      <c r="Z37" s="74">
        <f t="shared" si="6"/>
        <v>0</v>
      </c>
      <c r="AA37" s="67">
        <f t="shared" si="13"/>
        <v>0</v>
      </c>
      <c r="AB37" s="97">
        <f t="shared" si="14"/>
        <v>0</v>
      </c>
      <c r="AC37" s="82">
        <f t="shared" si="5"/>
        <v>0</v>
      </c>
      <c r="AD37" s="83">
        <f t="shared" si="15"/>
        <v>0</v>
      </c>
      <c r="AE37" s="97">
        <f t="shared" si="16"/>
        <v>0</v>
      </c>
      <c r="AF37" s="415" t="str">
        <f t="shared" si="7"/>
        <v>NA</v>
      </c>
      <c r="AG37" s="420" t="str">
        <f t="shared" si="17"/>
        <v>NA</v>
      </c>
      <c r="AH37" s="420" t="str">
        <f t="shared" si="18"/>
        <v>NA</v>
      </c>
      <c r="AI37" s="417" t="str">
        <f t="shared" si="4"/>
        <v>NA</v>
      </c>
      <c r="AJ37" s="417" t="str">
        <f t="shared" si="19"/>
        <v>NA</v>
      </c>
      <c r="AK37" s="524" t="str">
        <f>IFERROR(INDEX('Legacy Resident Reference'!R:R,MATCH('Unit Summary - Rent Roll'!AJ37,'Legacy Resident Reference'!P:P,0)),"NA")</f>
        <v>NA</v>
      </c>
    </row>
    <row r="38" spans="2:37" ht="13.8" x14ac:dyDescent="0.3">
      <c r="B38" s="236">
        <v>12</v>
      </c>
      <c r="C38" s="580" t="s">
        <v>143</v>
      </c>
      <c r="D38" s="581"/>
      <c r="E38" s="186" t="s">
        <v>139</v>
      </c>
      <c r="F38" s="187">
        <v>0</v>
      </c>
      <c r="G38" s="239" t="s">
        <v>85</v>
      </c>
      <c r="H38" s="243">
        <v>0</v>
      </c>
      <c r="I38" s="373">
        <f t="shared" si="8"/>
        <v>0</v>
      </c>
      <c r="J38" s="250" t="s">
        <v>139</v>
      </c>
      <c r="K38" s="508" t="s">
        <v>139</v>
      </c>
      <c r="L38" s="399" t="s">
        <v>139</v>
      </c>
      <c r="M38" s="403">
        <v>0</v>
      </c>
      <c r="N38" s="282" t="s">
        <v>139</v>
      </c>
      <c r="O38" s="302" t="str">
        <f>IF(OR(M38=0,N38="NA"),"NA",IFERROR(INDEX('Data - Reference'!$B$37:$B$50,MATCH('Unit Summary - Rent Roll'!$M38,INDEX('Data - Reference'!$B$37:$J$50,,MATCH('Unit Summary - Rent Roll'!$N38,'Data - Reference'!$B$37:$J$37,0)),-1),1),"NA"))</f>
        <v>NA</v>
      </c>
      <c r="P38" s="239" t="s">
        <v>85</v>
      </c>
      <c r="Q38" s="239" t="s">
        <v>85</v>
      </c>
      <c r="R38" s="188">
        <v>0</v>
      </c>
      <c r="S38" s="364">
        <f t="shared" si="9"/>
        <v>0</v>
      </c>
      <c r="T38" s="97">
        <f t="shared" si="10"/>
        <v>0</v>
      </c>
      <c r="U38" s="188">
        <v>0</v>
      </c>
      <c r="V38" s="364">
        <f t="shared" si="11"/>
        <v>0</v>
      </c>
      <c r="W38" s="97">
        <f t="shared" si="12"/>
        <v>0</v>
      </c>
      <c r="X38" s="71">
        <f>IFERROR(IF(INDEX(AC$14:AC$18,MATCH($E38,$AB$14:$AB$18,0))&lt;&gt;0,INDEX(AC$14:AC$18,MATCH($E38,$AB$14:$AB$18,0)),
IF($M38="Market",0,IF($L38="HUD FMR",INDEX('Data - Reference'!$B$31:$G$31,MATCH($E38,'Data - Reference'!$B$9:$G$9,0)),INDEX('Data - Reference'!$B$9:$G$31,MATCH($K38,'Data - Reference'!$B$9:$B$31,0),MATCH($E38,'Data - Reference'!$B$9:$G$9,0))))),0)</f>
        <v>0</v>
      </c>
      <c r="Y38" s="71">
        <f>IFERROR(IF(INDEX(AD$14:AD$18,MATCH($E38,$AB$14:$AB$18,0))&lt;&gt;0,INDEX(AD$14:AD$18,MATCH($E38,$AB$14:$AB$18,0)),
IF($K38="None - Market",0,-INDEX('Data - Reference'!$B$32:$G$32,MATCH($E38,'Data - Reference'!$B$9:$G$9,0)))),0)</f>
        <v>0</v>
      </c>
      <c r="Z38" s="74">
        <f t="shared" si="6"/>
        <v>0</v>
      </c>
      <c r="AA38" s="67">
        <f t="shared" si="13"/>
        <v>0</v>
      </c>
      <c r="AB38" s="97">
        <f t="shared" si="14"/>
        <v>0</v>
      </c>
      <c r="AC38" s="82">
        <f t="shared" si="5"/>
        <v>0</v>
      </c>
      <c r="AD38" s="83">
        <f t="shared" si="15"/>
        <v>0</v>
      </c>
      <c r="AE38" s="97">
        <f t="shared" si="16"/>
        <v>0</v>
      </c>
      <c r="AF38" s="415" t="str">
        <f t="shared" si="7"/>
        <v>NA</v>
      </c>
      <c r="AG38" s="420" t="str">
        <f t="shared" si="17"/>
        <v>NA</v>
      </c>
      <c r="AH38" s="420" t="str">
        <f t="shared" si="18"/>
        <v>NA</v>
      </c>
      <c r="AI38" s="417" t="str">
        <f t="shared" si="4"/>
        <v>NA</v>
      </c>
      <c r="AJ38" s="417" t="str">
        <f t="shared" si="19"/>
        <v>NA</v>
      </c>
      <c r="AK38" s="524" t="str">
        <f>IFERROR(INDEX('Legacy Resident Reference'!R:R,MATCH('Unit Summary - Rent Roll'!AJ38,'Legacy Resident Reference'!P:P,0)),"NA")</f>
        <v>NA</v>
      </c>
    </row>
    <row r="39" spans="2:37" ht="13.8" x14ac:dyDescent="0.3">
      <c r="B39" s="236">
        <v>13</v>
      </c>
      <c r="C39" s="580" t="s">
        <v>143</v>
      </c>
      <c r="D39" s="581"/>
      <c r="E39" s="186" t="s">
        <v>139</v>
      </c>
      <c r="F39" s="187">
        <v>0</v>
      </c>
      <c r="G39" s="239" t="s">
        <v>85</v>
      </c>
      <c r="H39" s="243">
        <v>0</v>
      </c>
      <c r="I39" s="373">
        <f t="shared" si="8"/>
        <v>0</v>
      </c>
      <c r="J39" s="250" t="s">
        <v>139</v>
      </c>
      <c r="K39" s="508" t="s">
        <v>139</v>
      </c>
      <c r="L39" s="399" t="s">
        <v>139</v>
      </c>
      <c r="M39" s="403">
        <v>0</v>
      </c>
      <c r="N39" s="282" t="s">
        <v>139</v>
      </c>
      <c r="O39" s="302" t="str">
        <f>IF(OR(M39=0,N39="NA"),"NA",IFERROR(INDEX('Data - Reference'!$B$37:$B$50,MATCH('Unit Summary - Rent Roll'!$M39,INDEX('Data - Reference'!$B$37:$J$50,,MATCH('Unit Summary - Rent Roll'!$N39,'Data - Reference'!$B$37:$J$37,0)),-1),1),"NA"))</f>
        <v>NA</v>
      </c>
      <c r="P39" s="239" t="s">
        <v>85</v>
      </c>
      <c r="Q39" s="239" t="s">
        <v>85</v>
      </c>
      <c r="R39" s="188">
        <v>0</v>
      </c>
      <c r="S39" s="364">
        <f t="shared" si="9"/>
        <v>0</v>
      </c>
      <c r="T39" s="97">
        <f t="shared" si="10"/>
        <v>0</v>
      </c>
      <c r="U39" s="188">
        <v>0</v>
      </c>
      <c r="V39" s="364">
        <f t="shared" si="11"/>
        <v>0</v>
      </c>
      <c r="W39" s="97">
        <f t="shared" si="12"/>
        <v>0</v>
      </c>
      <c r="X39" s="71">
        <f>IFERROR(IF(INDEX(AC$14:AC$18,MATCH($E39,$AB$14:$AB$18,0))&lt;&gt;0,INDEX(AC$14:AC$18,MATCH($E39,$AB$14:$AB$18,0)),
IF($M39="Market",0,IF($L39="HUD FMR",INDEX('Data - Reference'!$B$31:$G$31,MATCH($E39,'Data - Reference'!$B$9:$G$9,0)),INDEX('Data - Reference'!$B$9:$G$31,MATCH($K39,'Data - Reference'!$B$9:$B$31,0),MATCH($E39,'Data - Reference'!$B$9:$G$9,0))))),0)</f>
        <v>0</v>
      </c>
      <c r="Y39" s="71">
        <f>IFERROR(IF(INDEX(AD$14:AD$18,MATCH($E39,$AB$14:$AB$18,0))&lt;&gt;0,INDEX(AD$14:AD$18,MATCH($E39,$AB$14:$AB$18,0)),
IF($K39="None - Market",0,-INDEX('Data - Reference'!$B$32:$G$32,MATCH($E39,'Data - Reference'!$B$9:$G$9,0)))),0)</f>
        <v>0</v>
      </c>
      <c r="Z39" s="74">
        <f t="shared" si="6"/>
        <v>0</v>
      </c>
      <c r="AA39" s="67">
        <f t="shared" si="13"/>
        <v>0</v>
      </c>
      <c r="AB39" s="97">
        <f t="shared" si="14"/>
        <v>0</v>
      </c>
      <c r="AC39" s="82">
        <f t="shared" si="5"/>
        <v>0</v>
      </c>
      <c r="AD39" s="83">
        <f t="shared" si="15"/>
        <v>0</v>
      </c>
      <c r="AE39" s="97">
        <f t="shared" si="16"/>
        <v>0</v>
      </c>
      <c r="AF39" s="415" t="str">
        <f t="shared" si="7"/>
        <v>NA</v>
      </c>
      <c r="AG39" s="420" t="str">
        <f t="shared" si="17"/>
        <v>NA</v>
      </c>
      <c r="AH39" s="420" t="str">
        <f t="shared" si="18"/>
        <v>NA</v>
      </c>
      <c r="AI39" s="417" t="str">
        <f t="shared" si="4"/>
        <v>NA</v>
      </c>
      <c r="AJ39" s="417" t="str">
        <f t="shared" si="19"/>
        <v>NA</v>
      </c>
      <c r="AK39" s="524" t="str">
        <f>IFERROR(INDEX('Legacy Resident Reference'!R:R,MATCH('Unit Summary - Rent Roll'!AJ39,'Legacy Resident Reference'!P:P,0)),"NA")</f>
        <v>NA</v>
      </c>
    </row>
    <row r="40" spans="2:37" ht="13.8" x14ac:dyDescent="0.3">
      <c r="B40" s="236">
        <v>14</v>
      </c>
      <c r="C40" s="580" t="s">
        <v>143</v>
      </c>
      <c r="D40" s="581"/>
      <c r="E40" s="186" t="s">
        <v>139</v>
      </c>
      <c r="F40" s="187">
        <v>0</v>
      </c>
      <c r="G40" s="239" t="s">
        <v>85</v>
      </c>
      <c r="H40" s="243">
        <v>0</v>
      </c>
      <c r="I40" s="373">
        <f t="shared" si="8"/>
        <v>0</v>
      </c>
      <c r="J40" s="250" t="s">
        <v>139</v>
      </c>
      <c r="K40" s="508" t="s">
        <v>139</v>
      </c>
      <c r="L40" s="399" t="s">
        <v>139</v>
      </c>
      <c r="M40" s="403">
        <v>0</v>
      </c>
      <c r="N40" s="282" t="s">
        <v>139</v>
      </c>
      <c r="O40" s="302" t="str">
        <f>IF(OR(M40=0,N40="NA"),"NA",IFERROR(INDEX('Data - Reference'!$B$37:$B$50,MATCH('Unit Summary - Rent Roll'!$M40,INDEX('Data - Reference'!$B$37:$J$50,,MATCH('Unit Summary - Rent Roll'!$N40,'Data - Reference'!$B$37:$J$37,0)),-1),1),"NA"))</f>
        <v>NA</v>
      </c>
      <c r="P40" s="239" t="s">
        <v>85</v>
      </c>
      <c r="Q40" s="239" t="s">
        <v>85</v>
      </c>
      <c r="R40" s="188">
        <v>0</v>
      </c>
      <c r="S40" s="364">
        <f t="shared" si="9"/>
        <v>0</v>
      </c>
      <c r="T40" s="97">
        <f t="shared" si="10"/>
        <v>0</v>
      </c>
      <c r="U40" s="188">
        <v>0</v>
      </c>
      <c r="V40" s="364">
        <f t="shared" si="11"/>
        <v>0</v>
      </c>
      <c r="W40" s="97">
        <f t="shared" si="12"/>
        <v>0</v>
      </c>
      <c r="X40" s="71">
        <f>IFERROR(IF(INDEX(AC$14:AC$18,MATCH($E40,$AB$14:$AB$18,0))&lt;&gt;0,INDEX(AC$14:AC$18,MATCH($E40,$AB$14:$AB$18,0)),
IF($M40="Market",0,IF($L40="HUD FMR",INDEX('Data - Reference'!$B$31:$G$31,MATCH($E40,'Data - Reference'!$B$9:$G$9,0)),INDEX('Data - Reference'!$B$9:$G$31,MATCH($K40,'Data - Reference'!$B$9:$B$31,0),MATCH($E40,'Data - Reference'!$B$9:$G$9,0))))),0)</f>
        <v>0</v>
      </c>
      <c r="Y40" s="71">
        <f>IFERROR(IF(INDEX(AD$14:AD$18,MATCH($E40,$AB$14:$AB$18,0))&lt;&gt;0,INDEX(AD$14:AD$18,MATCH($E40,$AB$14:$AB$18,0)),
IF($K40="None - Market",0,-INDEX('Data - Reference'!$B$32:$G$32,MATCH($E40,'Data - Reference'!$B$9:$G$9,0)))),0)</f>
        <v>0</v>
      </c>
      <c r="Z40" s="74">
        <f t="shared" si="6"/>
        <v>0</v>
      </c>
      <c r="AA40" s="67">
        <f t="shared" si="13"/>
        <v>0</v>
      </c>
      <c r="AB40" s="97">
        <f t="shared" si="14"/>
        <v>0</v>
      </c>
      <c r="AC40" s="82">
        <f t="shared" si="5"/>
        <v>0</v>
      </c>
      <c r="AD40" s="83">
        <f t="shared" si="15"/>
        <v>0</v>
      </c>
      <c r="AE40" s="97">
        <f t="shared" si="16"/>
        <v>0</v>
      </c>
      <c r="AF40" s="415" t="str">
        <f t="shared" si="7"/>
        <v>NA</v>
      </c>
      <c r="AG40" s="420" t="str">
        <f t="shared" si="17"/>
        <v>NA</v>
      </c>
      <c r="AH40" s="420" t="str">
        <f t="shared" si="18"/>
        <v>NA</v>
      </c>
      <c r="AI40" s="417" t="str">
        <f t="shared" si="4"/>
        <v>NA</v>
      </c>
      <c r="AJ40" s="417" t="str">
        <f t="shared" si="19"/>
        <v>NA</v>
      </c>
      <c r="AK40" s="524" t="str">
        <f>IFERROR(INDEX('Legacy Resident Reference'!R:R,MATCH('Unit Summary - Rent Roll'!AJ40,'Legacy Resident Reference'!P:P,0)),"NA")</f>
        <v>NA</v>
      </c>
    </row>
    <row r="41" spans="2:37" ht="13.8" x14ac:dyDescent="0.3">
      <c r="B41" s="236">
        <v>15</v>
      </c>
      <c r="C41" s="580" t="s">
        <v>143</v>
      </c>
      <c r="D41" s="581"/>
      <c r="E41" s="186" t="s">
        <v>139</v>
      </c>
      <c r="F41" s="187">
        <v>0</v>
      </c>
      <c r="G41" s="239" t="s">
        <v>85</v>
      </c>
      <c r="H41" s="243">
        <v>0</v>
      </c>
      <c r="I41" s="373">
        <f t="shared" si="8"/>
        <v>0</v>
      </c>
      <c r="J41" s="250" t="s">
        <v>139</v>
      </c>
      <c r="K41" s="508" t="s">
        <v>139</v>
      </c>
      <c r="L41" s="399" t="s">
        <v>139</v>
      </c>
      <c r="M41" s="403">
        <v>0</v>
      </c>
      <c r="N41" s="282" t="s">
        <v>139</v>
      </c>
      <c r="O41" s="302" t="str">
        <f>IF(OR(M41=0,N41="NA"),"NA",IFERROR(INDEX('Data - Reference'!$B$37:$B$50,MATCH('Unit Summary - Rent Roll'!$M41,INDEX('Data - Reference'!$B$37:$J$50,,MATCH('Unit Summary - Rent Roll'!$N41,'Data - Reference'!$B$37:$J$37,0)),-1),1),"NA"))</f>
        <v>NA</v>
      </c>
      <c r="P41" s="239" t="s">
        <v>85</v>
      </c>
      <c r="Q41" s="239" t="s">
        <v>85</v>
      </c>
      <c r="R41" s="188">
        <v>0</v>
      </c>
      <c r="S41" s="364">
        <f t="shared" si="9"/>
        <v>0</v>
      </c>
      <c r="T41" s="97">
        <f t="shared" si="10"/>
        <v>0</v>
      </c>
      <c r="U41" s="188">
        <v>0</v>
      </c>
      <c r="V41" s="364">
        <f t="shared" si="11"/>
        <v>0</v>
      </c>
      <c r="W41" s="97">
        <f t="shared" si="12"/>
        <v>0</v>
      </c>
      <c r="X41" s="71">
        <f>IFERROR(IF(INDEX(AC$14:AC$18,MATCH($E41,$AB$14:$AB$18,0))&lt;&gt;0,INDEX(AC$14:AC$18,MATCH($E41,$AB$14:$AB$18,0)),
IF($M41="Market",0,IF($L41="HUD FMR",INDEX('Data - Reference'!$B$31:$G$31,MATCH($E41,'Data - Reference'!$B$9:$G$9,0)),INDEX('Data - Reference'!$B$9:$G$31,MATCH($K41,'Data - Reference'!$B$9:$B$31,0),MATCH($E41,'Data - Reference'!$B$9:$G$9,0))))),0)</f>
        <v>0</v>
      </c>
      <c r="Y41" s="71">
        <f>IFERROR(IF(INDEX(AD$14:AD$18,MATCH($E41,$AB$14:$AB$18,0))&lt;&gt;0,INDEX(AD$14:AD$18,MATCH($E41,$AB$14:$AB$18,0)),
IF($K41="None - Market",0,-INDEX('Data - Reference'!$B$32:$G$32,MATCH($E41,'Data - Reference'!$B$9:$G$9,0)))),0)</f>
        <v>0</v>
      </c>
      <c r="Z41" s="74">
        <f t="shared" si="6"/>
        <v>0</v>
      </c>
      <c r="AA41" s="67">
        <f t="shared" si="13"/>
        <v>0</v>
      </c>
      <c r="AB41" s="97">
        <f t="shared" si="14"/>
        <v>0</v>
      </c>
      <c r="AC41" s="82">
        <f t="shared" si="5"/>
        <v>0</v>
      </c>
      <c r="AD41" s="83">
        <f t="shared" si="15"/>
        <v>0</v>
      </c>
      <c r="AE41" s="97">
        <f t="shared" si="16"/>
        <v>0</v>
      </c>
      <c r="AF41" s="415" t="str">
        <f t="shared" si="7"/>
        <v>NA</v>
      </c>
      <c r="AG41" s="420" t="str">
        <f t="shared" si="17"/>
        <v>NA</v>
      </c>
      <c r="AH41" s="420" t="str">
        <f t="shared" si="18"/>
        <v>NA</v>
      </c>
      <c r="AI41" s="417" t="str">
        <f t="shared" si="4"/>
        <v>NA</v>
      </c>
      <c r="AJ41" s="417" t="str">
        <f t="shared" si="19"/>
        <v>NA</v>
      </c>
      <c r="AK41" s="524" t="str">
        <f>IFERROR(INDEX('Legacy Resident Reference'!R:R,MATCH('Unit Summary - Rent Roll'!AJ41,'Legacy Resident Reference'!P:P,0)),"NA")</f>
        <v>NA</v>
      </c>
    </row>
    <row r="42" spans="2:37" ht="13.8" x14ac:dyDescent="0.3">
      <c r="B42" s="236">
        <v>16</v>
      </c>
      <c r="C42" s="580" t="s">
        <v>143</v>
      </c>
      <c r="D42" s="581"/>
      <c r="E42" s="186" t="s">
        <v>139</v>
      </c>
      <c r="F42" s="187">
        <v>0</v>
      </c>
      <c r="G42" s="239" t="s">
        <v>85</v>
      </c>
      <c r="H42" s="243">
        <v>0</v>
      </c>
      <c r="I42" s="373">
        <f t="shared" si="8"/>
        <v>0</v>
      </c>
      <c r="J42" s="250" t="s">
        <v>139</v>
      </c>
      <c r="K42" s="508" t="s">
        <v>139</v>
      </c>
      <c r="L42" s="399" t="s">
        <v>139</v>
      </c>
      <c r="M42" s="403">
        <v>0</v>
      </c>
      <c r="N42" s="282" t="s">
        <v>139</v>
      </c>
      <c r="O42" s="302" t="str">
        <f>IF(OR(M42=0,N42="NA"),"NA",IFERROR(INDEX('Data - Reference'!$B$37:$B$50,MATCH('Unit Summary - Rent Roll'!$M42,INDEX('Data - Reference'!$B$37:$J$50,,MATCH('Unit Summary - Rent Roll'!$N42,'Data - Reference'!$B$37:$J$37,0)),-1),1),"NA"))</f>
        <v>NA</v>
      </c>
      <c r="P42" s="239" t="s">
        <v>85</v>
      </c>
      <c r="Q42" s="239" t="s">
        <v>85</v>
      </c>
      <c r="R42" s="188">
        <v>0</v>
      </c>
      <c r="S42" s="364">
        <f t="shared" si="9"/>
        <v>0</v>
      </c>
      <c r="T42" s="97">
        <f t="shared" si="10"/>
        <v>0</v>
      </c>
      <c r="U42" s="188">
        <v>0</v>
      </c>
      <c r="V42" s="364">
        <f t="shared" si="11"/>
        <v>0</v>
      </c>
      <c r="W42" s="97">
        <f t="shared" si="12"/>
        <v>0</v>
      </c>
      <c r="X42" s="71">
        <f>IFERROR(IF(INDEX(AC$14:AC$18,MATCH($E42,$AB$14:$AB$18,0))&lt;&gt;0,INDEX(AC$14:AC$18,MATCH($E42,$AB$14:$AB$18,0)),
IF($M42="Market",0,IF($L42="HUD FMR",INDEX('Data - Reference'!$B$31:$G$31,MATCH($E42,'Data - Reference'!$B$9:$G$9,0)),INDEX('Data - Reference'!$B$9:$G$31,MATCH($K42,'Data - Reference'!$B$9:$B$31,0),MATCH($E42,'Data - Reference'!$B$9:$G$9,0))))),0)</f>
        <v>0</v>
      </c>
      <c r="Y42" s="71">
        <f>IFERROR(IF(INDEX(AD$14:AD$18,MATCH($E42,$AB$14:$AB$18,0))&lt;&gt;0,INDEX(AD$14:AD$18,MATCH($E42,$AB$14:$AB$18,0)),
IF($K42="None - Market",0,-INDEX('Data - Reference'!$B$32:$G$32,MATCH($E42,'Data - Reference'!$B$9:$G$9,0)))),0)</f>
        <v>0</v>
      </c>
      <c r="Z42" s="74">
        <f t="shared" si="6"/>
        <v>0</v>
      </c>
      <c r="AA42" s="67">
        <f t="shared" si="13"/>
        <v>0</v>
      </c>
      <c r="AB42" s="97">
        <f t="shared" si="14"/>
        <v>0</v>
      </c>
      <c r="AC42" s="82">
        <f t="shared" si="5"/>
        <v>0</v>
      </c>
      <c r="AD42" s="83">
        <f t="shared" si="15"/>
        <v>0</v>
      </c>
      <c r="AE42" s="97">
        <f t="shared" si="16"/>
        <v>0</v>
      </c>
      <c r="AF42" s="415" t="str">
        <f t="shared" si="7"/>
        <v>NA</v>
      </c>
      <c r="AG42" s="420" t="str">
        <f t="shared" si="17"/>
        <v>NA</v>
      </c>
      <c r="AH42" s="420" t="str">
        <f t="shared" si="18"/>
        <v>NA</v>
      </c>
      <c r="AI42" s="417" t="str">
        <f t="shared" si="4"/>
        <v>NA</v>
      </c>
      <c r="AJ42" s="417" t="str">
        <f t="shared" si="19"/>
        <v>NA</v>
      </c>
      <c r="AK42" s="524" t="str">
        <f>IFERROR(INDEX('Legacy Resident Reference'!R:R,MATCH('Unit Summary - Rent Roll'!AJ42,'Legacy Resident Reference'!P:P,0)),"NA")</f>
        <v>NA</v>
      </c>
    </row>
    <row r="43" spans="2:37" ht="13.8" x14ac:dyDescent="0.3">
      <c r="B43" s="236">
        <v>17</v>
      </c>
      <c r="C43" s="580" t="s">
        <v>143</v>
      </c>
      <c r="D43" s="581"/>
      <c r="E43" s="186" t="s">
        <v>139</v>
      </c>
      <c r="F43" s="187">
        <v>0</v>
      </c>
      <c r="G43" s="239" t="s">
        <v>85</v>
      </c>
      <c r="H43" s="243">
        <v>0</v>
      </c>
      <c r="I43" s="373">
        <f t="shared" si="8"/>
        <v>0</v>
      </c>
      <c r="J43" s="250" t="s">
        <v>139</v>
      </c>
      <c r="K43" s="508" t="s">
        <v>139</v>
      </c>
      <c r="L43" s="399" t="s">
        <v>139</v>
      </c>
      <c r="M43" s="403">
        <v>0</v>
      </c>
      <c r="N43" s="282" t="s">
        <v>139</v>
      </c>
      <c r="O43" s="302" t="str">
        <f>IF(OR(M43=0,N43="NA"),"NA",IFERROR(INDEX('Data - Reference'!$B$37:$B$50,MATCH('Unit Summary - Rent Roll'!$M43,INDEX('Data - Reference'!$B$37:$J$50,,MATCH('Unit Summary - Rent Roll'!$N43,'Data - Reference'!$B$37:$J$37,0)),-1),1),"NA"))</f>
        <v>NA</v>
      </c>
      <c r="P43" s="239" t="s">
        <v>85</v>
      </c>
      <c r="Q43" s="239" t="s">
        <v>85</v>
      </c>
      <c r="R43" s="188">
        <v>0</v>
      </c>
      <c r="S43" s="364">
        <f t="shared" si="9"/>
        <v>0</v>
      </c>
      <c r="T43" s="97">
        <f t="shared" si="10"/>
        <v>0</v>
      </c>
      <c r="U43" s="188">
        <v>0</v>
      </c>
      <c r="V43" s="364">
        <f t="shared" si="11"/>
        <v>0</v>
      </c>
      <c r="W43" s="97">
        <f t="shared" si="12"/>
        <v>0</v>
      </c>
      <c r="X43" s="71">
        <f>IFERROR(IF(INDEX(AC$14:AC$18,MATCH($E43,$AB$14:$AB$18,0))&lt;&gt;0,INDEX(AC$14:AC$18,MATCH($E43,$AB$14:$AB$18,0)),
IF($M43="Market",0,IF($L43="HUD FMR",INDEX('Data - Reference'!$B$31:$G$31,MATCH($E43,'Data - Reference'!$B$9:$G$9,0)),INDEX('Data - Reference'!$B$9:$G$31,MATCH($K43,'Data - Reference'!$B$9:$B$31,0),MATCH($E43,'Data - Reference'!$B$9:$G$9,0))))),0)</f>
        <v>0</v>
      </c>
      <c r="Y43" s="71">
        <f>IFERROR(IF(INDEX(AD$14:AD$18,MATCH($E43,$AB$14:$AB$18,0))&lt;&gt;0,INDEX(AD$14:AD$18,MATCH($E43,$AB$14:$AB$18,0)),
IF($K43="None - Market",0,-INDEX('Data - Reference'!$B$32:$G$32,MATCH($E43,'Data - Reference'!$B$9:$G$9,0)))),0)</f>
        <v>0</v>
      </c>
      <c r="Z43" s="74">
        <f t="shared" si="6"/>
        <v>0</v>
      </c>
      <c r="AA43" s="67">
        <f t="shared" si="13"/>
        <v>0</v>
      </c>
      <c r="AB43" s="97">
        <f t="shared" si="14"/>
        <v>0</v>
      </c>
      <c r="AC43" s="82">
        <f t="shared" si="5"/>
        <v>0</v>
      </c>
      <c r="AD43" s="83">
        <f t="shared" si="15"/>
        <v>0</v>
      </c>
      <c r="AE43" s="97">
        <f t="shared" si="16"/>
        <v>0</v>
      </c>
      <c r="AF43" s="415" t="str">
        <f t="shared" si="7"/>
        <v>NA</v>
      </c>
      <c r="AG43" s="420" t="str">
        <f t="shared" si="17"/>
        <v>NA</v>
      </c>
      <c r="AH43" s="420" t="str">
        <f t="shared" si="18"/>
        <v>NA</v>
      </c>
      <c r="AI43" s="417" t="str">
        <f t="shared" si="4"/>
        <v>NA</v>
      </c>
      <c r="AJ43" s="417" t="str">
        <f t="shared" si="19"/>
        <v>NA</v>
      </c>
      <c r="AK43" s="524" t="str">
        <f>IFERROR(INDEX('Legacy Resident Reference'!R:R,MATCH('Unit Summary - Rent Roll'!AJ43,'Legacy Resident Reference'!P:P,0)),"NA")</f>
        <v>NA</v>
      </c>
    </row>
    <row r="44" spans="2:37" ht="13.8" x14ac:dyDescent="0.3">
      <c r="B44" s="236">
        <v>18</v>
      </c>
      <c r="C44" s="580" t="s">
        <v>143</v>
      </c>
      <c r="D44" s="581"/>
      <c r="E44" s="186" t="s">
        <v>139</v>
      </c>
      <c r="F44" s="187">
        <v>0</v>
      </c>
      <c r="G44" s="239" t="s">
        <v>85</v>
      </c>
      <c r="H44" s="243">
        <v>0</v>
      </c>
      <c r="I44" s="373">
        <f t="shared" si="8"/>
        <v>0</v>
      </c>
      <c r="J44" s="250" t="s">
        <v>139</v>
      </c>
      <c r="K44" s="508" t="s">
        <v>139</v>
      </c>
      <c r="L44" s="399" t="s">
        <v>139</v>
      </c>
      <c r="M44" s="403">
        <v>0</v>
      </c>
      <c r="N44" s="282" t="s">
        <v>139</v>
      </c>
      <c r="O44" s="302" t="str">
        <f>IF(OR(M44=0,N44="NA"),"NA",IFERROR(INDEX('Data - Reference'!$B$37:$B$50,MATCH('Unit Summary - Rent Roll'!$M44,INDEX('Data - Reference'!$B$37:$J$50,,MATCH('Unit Summary - Rent Roll'!$N44,'Data - Reference'!$B$37:$J$37,0)),-1),1),"NA"))</f>
        <v>NA</v>
      </c>
      <c r="P44" s="239" t="s">
        <v>85</v>
      </c>
      <c r="Q44" s="239" t="s">
        <v>85</v>
      </c>
      <c r="R44" s="188">
        <v>0</v>
      </c>
      <c r="S44" s="364">
        <f t="shared" si="9"/>
        <v>0</v>
      </c>
      <c r="T44" s="97">
        <f t="shared" si="10"/>
        <v>0</v>
      </c>
      <c r="U44" s="188">
        <v>0</v>
      </c>
      <c r="V44" s="364">
        <f t="shared" si="11"/>
        <v>0</v>
      </c>
      <c r="W44" s="97">
        <f t="shared" si="12"/>
        <v>0</v>
      </c>
      <c r="X44" s="71">
        <f>IFERROR(IF(INDEX(AC$14:AC$18,MATCH($E44,$AB$14:$AB$18,0))&lt;&gt;0,INDEX(AC$14:AC$18,MATCH($E44,$AB$14:$AB$18,0)),
IF($M44="Market",0,IF($L44="HUD FMR",INDEX('Data - Reference'!$B$31:$G$31,MATCH($E44,'Data - Reference'!$B$9:$G$9,0)),INDEX('Data - Reference'!$B$9:$G$31,MATCH($K44,'Data - Reference'!$B$9:$B$31,0),MATCH($E44,'Data - Reference'!$B$9:$G$9,0))))),0)</f>
        <v>0</v>
      </c>
      <c r="Y44" s="71">
        <f>IFERROR(IF(INDEX(AD$14:AD$18,MATCH($E44,$AB$14:$AB$18,0))&lt;&gt;0,INDEX(AD$14:AD$18,MATCH($E44,$AB$14:$AB$18,0)),
IF($K44="None - Market",0,-INDEX('Data - Reference'!$B$32:$G$32,MATCH($E44,'Data - Reference'!$B$9:$G$9,0)))),0)</f>
        <v>0</v>
      </c>
      <c r="Z44" s="74">
        <f t="shared" si="6"/>
        <v>0</v>
      </c>
      <c r="AA44" s="67">
        <f t="shared" si="13"/>
        <v>0</v>
      </c>
      <c r="AB44" s="97">
        <f t="shared" si="14"/>
        <v>0</v>
      </c>
      <c r="AC44" s="82">
        <f t="shared" si="5"/>
        <v>0</v>
      </c>
      <c r="AD44" s="83">
        <f t="shared" si="15"/>
        <v>0</v>
      </c>
      <c r="AE44" s="97">
        <f t="shared" si="16"/>
        <v>0</v>
      </c>
      <c r="AF44" s="415" t="str">
        <f t="shared" si="7"/>
        <v>NA</v>
      </c>
      <c r="AG44" s="420" t="str">
        <f t="shared" si="17"/>
        <v>NA</v>
      </c>
      <c r="AH44" s="420" t="str">
        <f t="shared" si="18"/>
        <v>NA</v>
      </c>
      <c r="AI44" s="417" t="str">
        <f t="shared" si="4"/>
        <v>NA</v>
      </c>
      <c r="AJ44" s="417" t="str">
        <f t="shared" si="19"/>
        <v>NA</v>
      </c>
      <c r="AK44" s="524" t="str">
        <f>IFERROR(INDEX('Legacy Resident Reference'!R:R,MATCH('Unit Summary - Rent Roll'!AJ44,'Legacy Resident Reference'!P:P,0)),"NA")</f>
        <v>NA</v>
      </c>
    </row>
    <row r="45" spans="2:37" ht="13.8" x14ac:dyDescent="0.3">
      <c r="B45" s="236">
        <v>19</v>
      </c>
      <c r="C45" s="580" t="s">
        <v>143</v>
      </c>
      <c r="D45" s="581"/>
      <c r="E45" s="186" t="s">
        <v>139</v>
      </c>
      <c r="F45" s="187">
        <v>0</v>
      </c>
      <c r="G45" s="239" t="s">
        <v>85</v>
      </c>
      <c r="H45" s="243">
        <v>0</v>
      </c>
      <c r="I45" s="373">
        <f t="shared" si="8"/>
        <v>0</v>
      </c>
      <c r="J45" s="250" t="s">
        <v>139</v>
      </c>
      <c r="K45" s="508" t="s">
        <v>139</v>
      </c>
      <c r="L45" s="399" t="s">
        <v>139</v>
      </c>
      <c r="M45" s="403">
        <v>0</v>
      </c>
      <c r="N45" s="282" t="s">
        <v>139</v>
      </c>
      <c r="O45" s="302" t="str">
        <f>IF(OR(M45=0,N45="NA"),"NA",IFERROR(INDEX('Data - Reference'!$B$37:$B$50,MATCH('Unit Summary - Rent Roll'!$M45,INDEX('Data - Reference'!$B$37:$J$50,,MATCH('Unit Summary - Rent Roll'!$N45,'Data - Reference'!$B$37:$J$37,0)),-1),1),"NA"))</f>
        <v>NA</v>
      </c>
      <c r="P45" s="239" t="s">
        <v>85</v>
      </c>
      <c r="Q45" s="239" t="s">
        <v>85</v>
      </c>
      <c r="R45" s="188">
        <v>0</v>
      </c>
      <c r="S45" s="364">
        <f t="shared" si="9"/>
        <v>0</v>
      </c>
      <c r="T45" s="97">
        <f t="shared" si="10"/>
        <v>0</v>
      </c>
      <c r="U45" s="188">
        <v>0</v>
      </c>
      <c r="V45" s="364">
        <f t="shared" si="11"/>
        <v>0</v>
      </c>
      <c r="W45" s="97">
        <f t="shared" si="12"/>
        <v>0</v>
      </c>
      <c r="X45" s="71">
        <f>IFERROR(IF(INDEX(AC$14:AC$18,MATCH($E45,$AB$14:$AB$18,0))&lt;&gt;0,INDEX(AC$14:AC$18,MATCH($E45,$AB$14:$AB$18,0)),
IF($M45="Market",0,IF($L45="HUD FMR",INDEX('Data - Reference'!$B$31:$G$31,MATCH($E45,'Data - Reference'!$B$9:$G$9,0)),INDEX('Data - Reference'!$B$9:$G$31,MATCH($K45,'Data - Reference'!$B$9:$B$31,0),MATCH($E45,'Data - Reference'!$B$9:$G$9,0))))),0)</f>
        <v>0</v>
      </c>
      <c r="Y45" s="71">
        <f>IFERROR(IF(INDEX(AD$14:AD$18,MATCH($E45,$AB$14:$AB$18,0))&lt;&gt;0,INDEX(AD$14:AD$18,MATCH($E45,$AB$14:$AB$18,0)),
IF($K45="None - Market",0,-INDEX('Data - Reference'!$B$32:$G$32,MATCH($E45,'Data - Reference'!$B$9:$G$9,0)))),0)</f>
        <v>0</v>
      </c>
      <c r="Z45" s="74">
        <f t="shared" si="6"/>
        <v>0</v>
      </c>
      <c r="AA45" s="67">
        <f t="shared" si="13"/>
        <v>0</v>
      </c>
      <c r="AB45" s="97">
        <f t="shared" si="14"/>
        <v>0</v>
      </c>
      <c r="AC45" s="82">
        <f t="shared" si="5"/>
        <v>0</v>
      </c>
      <c r="AD45" s="83">
        <f t="shared" si="15"/>
        <v>0</v>
      </c>
      <c r="AE45" s="97">
        <f t="shared" si="16"/>
        <v>0</v>
      </c>
      <c r="AF45" s="415" t="str">
        <f t="shared" si="7"/>
        <v>NA</v>
      </c>
      <c r="AG45" s="420" t="str">
        <f t="shared" si="17"/>
        <v>NA</v>
      </c>
      <c r="AH45" s="420" t="str">
        <f t="shared" si="18"/>
        <v>NA</v>
      </c>
      <c r="AI45" s="417" t="str">
        <f t="shared" si="4"/>
        <v>NA</v>
      </c>
      <c r="AJ45" s="417" t="str">
        <f t="shared" si="19"/>
        <v>NA</v>
      </c>
      <c r="AK45" s="524" t="str">
        <f>IFERROR(INDEX('Legacy Resident Reference'!R:R,MATCH('Unit Summary - Rent Roll'!AJ45,'Legacy Resident Reference'!P:P,0)),"NA")</f>
        <v>NA</v>
      </c>
    </row>
    <row r="46" spans="2:37" ht="13.8" x14ac:dyDescent="0.3">
      <c r="B46" s="236">
        <v>20</v>
      </c>
      <c r="C46" s="580" t="s">
        <v>143</v>
      </c>
      <c r="D46" s="581"/>
      <c r="E46" s="186" t="s">
        <v>139</v>
      </c>
      <c r="F46" s="187">
        <v>0</v>
      </c>
      <c r="G46" s="239" t="s">
        <v>85</v>
      </c>
      <c r="H46" s="243">
        <v>0</v>
      </c>
      <c r="I46" s="373">
        <f t="shared" si="8"/>
        <v>0</v>
      </c>
      <c r="J46" s="250" t="s">
        <v>139</v>
      </c>
      <c r="K46" s="508" t="s">
        <v>139</v>
      </c>
      <c r="L46" s="399" t="s">
        <v>139</v>
      </c>
      <c r="M46" s="403">
        <v>0</v>
      </c>
      <c r="N46" s="282" t="s">
        <v>139</v>
      </c>
      <c r="O46" s="302" t="str">
        <f>IF(OR(M46=0,N46="NA"),"NA",IFERROR(INDEX('Data - Reference'!$B$37:$B$50,MATCH('Unit Summary - Rent Roll'!$M46,INDEX('Data - Reference'!$B$37:$J$50,,MATCH('Unit Summary - Rent Roll'!$N46,'Data - Reference'!$B$37:$J$37,0)),-1),1),"NA"))</f>
        <v>NA</v>
      </c>
      <c r="P46" s="239" t="s">
        <v>85</v>
      </c>
      <c r="Q46" s="239" t="s">
        <v>85</v>
      </c>
      <c r="R46" s="188">
        <v>0</v>
      </c>
      <c r="S46" s="364">
        <f t="shared" si="9"/>
        <v>0</v>
      </c>
      <c r="T46" s="97">
        <f t="shared" si="10"/>
        <v>0</v>
      </c>
      <c r="U46" s="188">
        <v>0</v>
      </c>
      <c r="V46" s="364">
        <f t="shared" si="11"/>
        <v>0</v>
      </c>
      <c r="W46" s="97">
        <f t="shared" si="12"/>
        <v>0</v>
      </c>
      <c r="X46" s="71">
        <f>IFERROR(IF(INDEX(AC$14:AC$18,MATCH($E46,$AB$14:$AB$18,0))&lt;&gt;0,INDEX(AC$14:AC$18,MATCH($E46,$AB$14:$AB$18,0)),
IF($M46="Market",0,IF($L46="HUD FMR",INDEX('Data - Reference'!$B$31:$G$31,MATCH($E46,'Data - Reference'!$B$9:$G$9,0)),INDEX('Data - Reference'!$B$9:$G$31,MATCH($K46,'Data - Reference'!$B$9:$B$31,0),MATCH($E46,'Data - Reference'!$B$9:$G$9,0))))),0)</f>
        <v>0</v>
      </c>
      <c r="Y46" s="71">
        <f>IFERROR(IF(INDEX(AD$14:AD$18,MATCH($E46,$AB$14:$AB$18,0))&lt;&gt;0,INDEX(AD$14:AD$18,MATCH($E46,$AB$14:$AB$18,0)),
IF($K46="None - Market",0,-INDEX('Data - Reference'!$B$32:$G$32,MATCH($E46,'Data - Reference'!$B$9:$G$9,0)))),0)</f>
        <v>0</v>
      </c>
      <c r="Z46" s="74">
        <f t="shared" si="6"/>
        <v>0</v>
      </c>
      <c r="AA46" s="67">
        <f t="shared" si="13"/>
        <v>0</v>
      </c>
      <c r="AB46" s="97">
        <f t="shared" si="14"/>
        <v>0</v>
      </c>
      <c r="AC46" s="82">
        <f t="shared" si="5"/>
        <v>0</v>
      </c>
      <c r="AD46" s="83">
        <f t="shared" si="15"/>
        <v>0</v>
      </c>
      <c r="AE46" s="97">
        <f t="shared" si="16"/>
        <v>0</v>
      </c>
      <c r="AF46" s="415" t="str">
        <f t="shared" si="7"/>
        <v>NA</v>
      </c>
      <c r="AG46" s="420" t="str">
        <f t="shared" si="17"/>
        <v>NA</v>
      </c>
      <c r="AH46" s="420" t="str">
        <f t="shared" si="18"/>
        <v>NA</v>
      </c>
      <c r="AI46" s="417" t="str">
        <f t="shared" si="4"/>
        <v>NA</v>
      </c>
      <c r="AJ46" s="417" t="str">
        <f t="shared" si="19"/>
        <v>NA</v>
      </c>
      <c r="AK46" s="524" t="str">
        <f>IFERROR(INDEX('Legacy Resident Reference'!R:R,MATCH('Unit Summary - Rent Roll'!AJ46,'Legacy Resident Reference'!P:P,0)),"NA")</f>
        <v>NA</v>
      </c>
    </row>
    <row r="47" spans="2:37" ht="13.8" x14ac:dyDescent="0.3">
      <c r="B47" s="236">
        <v>21</v>
      </c>
      <c r="C47" s="580" t="s">
        <v>143</v>
      </c>
      <c r="D47" s="581"/>
      <c r="E47" s="186" t="s">
        <v>139</v>
      </c>
      <c r="F47" s="187">
        <v>0</v>
      </c>
      <c r="G47" s="239" t="s">
        <v>85</v>
      </c>
      <c r="H47" s="243">
        <v>0</v>
      </c>
      <c r="I47" s="373">
        <f t="shared" si="8"/>
        <v>0</v>
      </c>
      <c r="J47" s="250" t="s">
        <v>139</v>
      </c>
      <c r="K47" s="508" t="s">
        <v>139</v>
      </c>
      <c r="L47" s="399" t="s">
        <v>139</v>
      </c>
      <c r="M47" s="403">
        <v>0</v>
      </c>
      <c r="N47" s="282" t="s">
        <v>139</v>
      </c>
      <c r="O47" s="302" t="str">
        <f>IF(OR(M47=0,N47="NA"),"NA",IFERROR(INDEX('Data - Reference'!$B$37:$B$50,MATCH('Unit Summary - Rent Roll'!$M47,INDEX('Data - Reference'!$B$37:$J$50,,MATCH('Unit Summary - Rent Roll'!$N47,'Data - Reference'!$B$37:$J$37,0)),-1),1),"NA"))</f>
        <v>NA</v>
      </c>
      <c r="P47" s="239" t="s">
        <v>85</v>
      </c>
      <c r="Q47" s="239" t="s">
        <v>85</v>
      </c>
      <c r="R47" s="188">
        <v>0</v>
      </c>
      <c r="S47" s="364">
        <f t="shared" si="9"/>
        <v>0</v>
      </c>
      <c r="T47" s="97">
        <f t="shared" si="10"/>
        <v>0</v>
      </c>
      <c r="U47" s="188">
        <v>0</v>
      </c>
      <c r="V47" s="364">
        <f t="shared" si="11"/>
        <v>0</v>
      </c>
      <c r="W47" s="97">
        <f t="shared" si="12"/>
        <v>0</v>
      </c>
      <c r="X47" s="71">
        <f>IFERROR(IF(INDEX(AC$14:AC$18,MATCH($E47,$AB$14:$AB$18,0))&lt;&gt;0,INDEX(AC$14:AC$18,MATCH($E47,$AB$14:$AB$18,0)),
IF($M47="Market",0,IF($L47="HUD FMR",INDEX('Data - Reference'!$B$31:$G$31,MATCH($E47,'Data - Reference'!$B$9:$G$9,0)),INDEX('Data - Reference'!$B$9:$G$31,MATCH($K47,'Data - Reference'!$B$9:$B$31,0),MATCH($E47,'Data - Reference'!$B$9:$G$9,0))))),0)</f>
        <v>0</v>
      </c>
      <c r="Y47" s="71">
        <f>IFERROR(IF(INDEX(AD$14:AD$18,MATCH($E47,$AB$14:$AB$18,0))&lt;&gt;0,INDEX(AD$14:AD$18,MATCH($E47,$AB$14:$AB$18,0)),
IF($K47="None - Market",0,-INDEX('Data - Reference'!$B$32:$G$32,MATCH($E47,'Data - Reference'!$B$9:$G$9,0)))),0)</f>
        <v>0</v>
      </c>
      <c r="Z47" s="74">
        <f t="shared" si="6"/>
        <v>0</v>
      </c>
      <c r="AA47" s="67">
        <f t="shared" si="13"/>
        <v>0</v>
      </c>
      <c r="AB47" s="97">
        <f t="shared" si="14"/>
        <v>0</v>
      </c>
      <c r="AC47" s="82">
        <f t="shared" si="5"/>
        <v>0</v>
      </c>
      <c r="AD47" s="83">
        <f t="shared" si="15"/>
        <v>0</v>
      </c>
      <c r="AE47" s="97">
        <f t="shared" si="16"/>
        <v>0</v>
      </c>
      <c r="AF47" s="415" t="str">
        <f t="shared" si="7"/>
        <v>NA</v>
      </c>
      <c r="AG47" s="420" t="str">
        <f t="shared" si="17"/>
        <v>NA</v>
      </c>
      <c r="AH47" s="420" t="str">
        <f t="shared" si="18"/>
        <v>NA</v>
      </c>
      <c r="AI47" s="417" t="str">
        <f t="shared" si="4"/>
        <v>NA</v>
      </c>
      <c r="AJ47" s="417" t="str">
        <f t="shared" si="19"/>
        <v>NA</v>
      </c>
      <c r="AK47" s="524" t="str">
        <f>IFERROR(INDEX('Legacy Resident Reference'!R:R,MATCH('Unit Summary - Rent Roll'!AJ47,'Legacy Resident Reference'!P:P,0)),"NA")</f>
        <v>NA</v>
      </c>
    </row>
    <row r="48" spans="2:37" ht="13.8" x14ac:dyDescent="0.3">
      <c r="B48" s="236">
        <v>22</v>
      </c>
      <c r="C48" s="580" t="s">
        <v>143</v>
      </c>
      <c r="D48" s="581"/>
      <c r="E48" s="186" t="s">
        <v>139</v>
      </c>
      <c r="F48" s="187">
        <v>0</v>
      </c>
      <c r="G48" s="239" t="s">
        <v>85</v>
      </c>
      <c r="H48" s="243">
        <v>0</v>
      </c>
      <c r="I48" s="373">
        <f t="shared" si="8"/>
        <v>0</v>
      </c>
      <c r="J48" s="250" t="s">
        <v>139</v>
      </c>
      <c r="K48" s="508" t="s">
        <v>139</v>
      </c>
      <c r="L48" s="399" t="s">
        <v>139</v>
      </c>
      <c r="M48" s="403">
        <v>0</v>
      </c>
      <c r="N48" s="282" t="s">
        <v>139</v>
      </c>
      <c r="O48" s="302" t="str">
        <f>IF(OR(M48=0,N48="NA"),"NA",IFERROR(INDEX('Data - Reference'!$B$37:$B$50,MATCH('Unit Summary - Rent Roll'!$M48,INDEX('Data - Reference'!$B$37:$J$50,,MATCH('Unit Summary - Rent Roll'!$N48,'Data - Reference'!$B$37:$J$37,0)),-1),1),"NA"))</f>
        <v>NA</v>
      </c>
      <c r="P48" s="239" t="s">
        <v>85</v>
      </c>
      <c r="Q48" s="239" t="s">
        <v>85</v>
      </c>
      <c r="R48" s="188">
        <v>0</v>
      </c>
      <c r="S48" s="364">
        <f t="shared" si="9"/>
        <v>0</v>
      </c>
      <c r="T48" s="97">
        <f t="shared" si="10"/>
        <v>0</v>
      </c>
      <c r="U48" s="188">
        <v>0</v>
      </c>
      <c r="V48" s="364">
        <f t="shared" si="11"/>
        <v>0</v>
      </c>
      <c r="W48" s="97">
        <f t="shared" si="12"/>
        <v>0</v>
      </c>
      <c r="X48" s="71">
        <f>IFERROR(IF(INDEX(AC$14:AC$18,MATCH($E48,$AB$14:$AB$18,0))&lt;&gt;0,INDEX(AC$14:AC$18,MATCH($E48,$AB$14:$AB$18,0)),
IF($M48="Market",0,IF($L48="HUD FMR",INDEX('Data - Reference'!$B$31:$G$31,MATCH($E48,'Data - Reference'!$B$9:$G$9,0)),INDEX('Data - Reference'!$B$9:$G$31,MATCH($K48,'Data - Reference'!$B$9:$B$31,0),MATCH($E48,'Data - Reference'!$B$9:$G$9,0))))),0)</f>
        <v>0</v>
      </c>
      <c r="Y48" s="71">
        <f>IFERROR(IF(INDEX(AD$14:AD$18,MATCH($E48,$AB$14:$AB$18,0))&lt;&gt;0,INDEX(AD$14:AD$18,MATCH($E48,$AB$14:$AB$18,0)),
IF($K48="None - Market",0,-INDEX('Data - Reference'!$B$32:$G$32,MATCH($E48,'Data - Reference'!$B$9:$G$9,0)))),0)</f>
        <v>0</v>
      </c>
      <c r="Z48" s="74">
        <f t="shared" si="6"/>
        <v>0</v>
      </c>
      <c r="AA48" s="67">
        <f t="shared" si="13"/>
        <v>0</v>
      </c>
      <c r="AB48" s="97">
        <f t="shared" si="14"/>
        <v>0</v>
      </c>
      <c r="AC48" s="82">
        <f t="shared" si="5"/>
        <v>0</v>
      </c>
      <c r="AD48" s="83">
        <f t="shared" si="15"/>
        <v>0</v>
      </c>
      <c r="AE48" s="97">
        <f t="shared" si="16"/>
        <v>0</v>
      </c>
      <c r="AF48" s="415" t="str">
        <f t="shared" si="7"/>
        <v>NA</v>
      </c>
      <c r="AG48" s="420" t="str">
        <f t="shared" si="17"/>
        <v>NA</v>
      </c>
      <c r="AH48" s="420" t="str">
        <f t="shared" si="18"/>
        <v>NA</v>
      </c>
      <c r="AI48" s="417" t="str">
        <f t="shared" si="4"/>
        <v>NA</v>
      </c>
      <c r="AJ48" s="417" t="str">
        <f t="shared" si="19"/>
        <v>NA</v>
      </c>
      <c r="AK48" s="524" t="str">
        <f>IFERROR(INDEX('Legacy Resident Reference'!R:R,MATCH('Unit Summary - Rent Roll'!AJ48,'Legacy Resident Reference'!P:P,0)),"NA")</f>
        <v>NA</v>
      </c>
    </row>
    <row r="49" spans="2:37" ht="13.8" x14ac:dyDescent="0.3">
      <c r="B49" s="236">
        <v>23</v>
      </c>
      <c r="C49" s="580" t="s">
        <v>143</v>
      </c>
      <c r="D49" s="581"/>
      <c r="E49" s="186" t="s">
        <v>139</v>
      </c>
      <c r="F49" s="187">
        <v>0</v>
      </c>
      <c r="G49" s="239" t="s">
        <v>85</v>
      </c>
      <c r="H49" s="243">
        <v>0</v>
      </c>
      <c r="I49" s="373">
        <f t="shared" si="8"/>
        <v>0</v>
      </c>
      <c r="J49" s="250" t="s">
        <v>139</v>
      </c>
      <c r="K49" s="508" t="s">
        <v>139</v>
      </c>
      <c r="L49" s="399" t="s">
        <v>139</v>
      </c>
      <c r="M49" s="403">
        <v>0</v>
      </c>
      <c r="N49" s="282" t="s">
        <v>139</v>
      </c>
      <c r="O49" s="302" t="str">
        <f>IF(OR(M49=0,N49="NA"),"NA",IFERROR(INDEX('Data - Reference'!$B$37:$B$50,MATCH('Unit Summary - Rent Roll'!$M49,INDEX('Data - Reference'!$B$37:$J$50,,MATCH('Unit Summary - Rent Roll'!$N49,'Data - Reference'!$B$37:$J$37,0)),-1),1),"NA"))</f>
        <v>NA</v>
      </c>
      <c r="P49" s="239" t="s">
        <v>85</v>
      </c>
      <c r="Q49" s="239" t="s">
        <v>85</v>
      </c>
      <c r="R49" s="188">
        <v>0</v>
      </c>
      <c r="S49" s="364">
        <f t="shared" si="9"/>
        <v>0</v>
      </c>
      <c r="T49" s="97">
        <f t="shared" si="10"/>
        <v>0</v>
      </c>
      <c r="U49" s="188">
        <v>0</v>
      </c>
      <c r="V49" s="364">
        <f t="shared" si="11"/>
        <v>0</v>
      </c>
      <c r="W49" s="97">
        <f t="shared" si="12"/>
        <v>0</v>
      </c>
      <c r="X49" s="71">
        <f>IFERROR(IF(INDEX(AC$14:AC$18,MATCH($E49,$AB$14:$AB$18,0))&lt;&gt;0,INDEX(AC$14:AC$18,MATCH($E49,$AB$14:$AB$18,0)),
IF($M49="Market",0,IF($L49="HUD FMR",INDEX('Data - Reference'!$B$31:$G$31,MATCH($E49,'Data - Reference'!$B$9:$G$9,0)),INDEX('Data - Reference'!$B$9:$G$31,MATCH($K49,'Data - Reference'!$B$9:$B$31,0),MATCH($E49,'Data - Reference'!$B$9:$G$9,0))))),0)</f>
        <v>0</v>
      </c>
      <c r="Y49" s="71">
        <f>IFERROR(IF(INDEX(AD$14:AD$18,MATCH($E49,$AB$14:$AB$18,0))&lt;&gt;0,INDEX(AD$14:AD$18,MATCH($E49,$AB$14:$AB$18,0)),
IF($K49="None - Market",0,-INDEX('Data - Reference'!$B$32:$G$32,MATCH($E49,'Data - Reference'!$B$9:$G$9,0)))),0)</f>
        <v>0</v>
      </c>
      <c r="Z49" s="74">
        <f t="shared" si="6"/>
        <v>0</v>
      </c>
      <c r="AA49" s="67">
        <f t="shared" si="13"/>
        <v>0</v>
      </c>
      <c r="AB49" s="97">
        <f t="shared" si="14"/>
        <v>0</v>
      </c>
      <c r="AC49" s="82">
        <f t="shared" si="5"/>
        <v>0</v>
      </c>
      <c r="AD49" s="83">
        <f t="shared" si="15"/>
        <v>0</v>
      </c>
      <c r="AE49" s="97">
        <f t="shared" si="16"/>
        <v>0</v>
      </c>
      <c r="AF49" s="415" t="str">
        <f t="shared" si="7"/>
        <v>NA</v>
      </c>
      <c r="AG49" s="420" t="str">
        <f t="shared" si="17"/>
        <v>NA</v>
      </c>
      <c r="AH49" s="420" t="str">
        <f t="shared" si="18"/>
        <v>NA</v>
      </c>
      <c r="AI49" s="417" t="str">
        <f t="shared" si="4"/>
        <v>NA</v>
      </c>
      <c r="AJ49" s="417" t="str">
        <f t="shared" si="19"/>
        <v>NA</v>
      </c>
      <c r="AK49" s="524" t="str">
        <f>IFERROR(INDEX('Legacy Resident Reference'!R:R,MATCH('Unit Summary - Rent Roll'!AJ49,'Legacy Resident Reference'!P:P,0)),"NA")</f>
        <v>NA</v>
      </c>
    </row>
    <row r="50" spans="2:37" ht="13.8" x14ac:dyDescent="0.3">
      <c r="B50" s="236">
        <v>24</v>
      </c>
      <c r="C50" s="580" t="s">
        <v>143</v>
      </c>
      <c r="D50" s="581"/>
      <c r="E50" s="186" t="s">
        <v>139</v>
      </c>
      <c r="F50" s="187">
        <v>0</v>
      </c>
      <c r="G50" s="239" t="s">
        <v>85</v>
      </c>
      <c r="H50" s="243">
        <v>0</v>
      </c>
      <c r="I50" s="373">
        <f t="shared" si="8"/>
        <v>0</v>
      </c>
      <c r="J50" s="250" t="s">
        <v>139</v>
      </c>
      <c r="K50" s="508" t="s">
        <v>139</v>
      </c>
      <c r="L50" s="399" t="s">
        <v>139</v>
      </c>
      <c r="M50" s="403">
        <v>0</v>
      </c>
      <c r="N50" s="282" t="s">
        <v>139</v>
      </c>
      <c r="O50" s="302" t="str">
        <f>IF(OR(M50=0,N50="NA"),"NA",IFERROR(INDEX('Data - Reference'!$B$37:$B$50,MATCH('Unit Summary - Rent Roll'!$M50,INDEX('Data - Reference'!$B$37:$J$50,,MATCH('Unit Summary - Rent Roll'!$N50,'Data - Reference'!$B$37:$J$37,0)),-1),1),"NA"))</f>
        <v>NA</v>
      </c>
      <c r="P50" s="239" t="s">
        <v>85</v>
      </c>
      <c r="Q50" s="239" t="s">
        <v>85</v>
      </c>
      <c r="R50" s="188">
        <v>0</v>
      </c>
      <c r="S50" s="364">
        <f t="shared" si="9"/>
        <v>0</v>
      </c>
      <c r="T50" s="97">
        <f t="shared" si="10"/>
        <v>0</v>
      </c>
      <c r="U50" s="188">
        <v>0</v>
      </c>
      <c r="V50" s="364">
        <f t="shared" si="11"/>
        <v>0</v>
      </c>
      <c r="W50" s="97">
        <f t="shared" si="12"/>
        <v>0</v>
      </c>
      <c r="X50" s="71">
        <f>IFERROR(IF(INDEX(AC$14:AC$18,MATCH($E50,$AB$14:$AB$18,0))&lt;&gt;0,INDEX(AC$14:AC$18,MATCH($E50,$AB$14:$AB$18,0)),
IF($M50="Market",0,IF($L50="HUD FMR",INDEX('Data - Reference'!$B$31:$G$31,MATCH($E50,'Data - Reference'!$B$9:$G$9,0)),INDEX('Data - Reference'!$B$9:$G$31,MATCH($K50,'Data - Reference'!$B$9:$B$31,0),MATCH($E50,'Data - Reference'!$B$9:$G$9,0))))),0)</f>
        <v>0</v>
      </c>
      <c r="Y50" s="71">
        <f>IFERROR(IF(INDEX(AD$14:AD$18,MATCH($E50,$AB$14:$AB$18,0))&lt;&gt;0,INDEX(AD$14:AD$18,MATCH($E50,$AB$14:$AB$18,0)),
IF($K50="None - Market",0,-INDEX('Data - Reference'!$B$32:$G$32,MATCH($E50,'Data - Reference'!$B$9:$G$9,0)))),0)</f>
        <v>0</v>
      </c>
      <c r="Z50" s="74">
        <f t="shared" si="6"/>
        <v>0</v>
      </c>
      <c r="AA50" s="67">
        <f t="shared" si="13"/>
        <v>0</v>
      </c>
      <c r="AB50" s="97">
        <f t="shared" si="14"/>
        <v>0</v>
      </c>
      <c r="AC50" s="82">
        <f t="shared" si="5"/>
        <v>0</v>
      </c>
      <c r="AD50" s="83">
        <f t="shared" si="15"/>
        <v>0</v>
      </c>
      <c r="AE50" s="97">
        <f t="shared" si="16"/>
        <v>0</v>
      </c>
      <c r="AF50" s="415" t="str">
        <f t="shared" si="7"/>
        <v>NA</v>
      </c>
      <c r="AG50" s="420" t="str">
        <f t="shared" si="17"/>
        <v>NA</v>
      </c>
      <c r="AH50" s="420" t="str">
        <f t="shared" si="18"/>
        <v>NA</v>
      </c>
      <c r="AI50" s="417" t="str">
        <f t="shared" si="4"/>
        <v>NA</v>
      </c>
      <c r="AJ50" s="417" t="str">
        <f t="shared" si="19"/>
        <v>NA</v>
      </c>
      <c r="AK50" s="524" t="str">
        <f>IFERROR(INDEX('Legacy Resident Reference'!R:R,MATCH('Unit Summary - Rent Roll'!AJ50,'Legacy Resident Reference'!P:P,0)),"NA")</f>
        <v>NA</v>
      </c>
    </row>
    <row r="51" spans="2:37" ht="13.8" x14ac:dyDescent="0.3">
      <c r="B51" s="236">
        <v>25</v>
      </c>
      <c r="C51" s="580" t="s">
        <v>143</v>
      </c>
      <c r="D51" s="581"/>
      <c r="E51" s="186" t="s">
        <v>139</v>
      </c>
      <c r="F51" s="187">
        <v>0</v>
      </c>
      <c r="G51" s="239" t="s">
        <v>85</v>
      </c>
      <c r="H51" s="243">
        <v>0</v>
      </c>
      <c r="I51" s="373">
        <f t="shared" si="8"/>
        <v>0</v>
      </c>
      <c r="J51" s="250" t="s">
        <v>139</v>
      </c>
      <c r="K51" s="508" t="s">
        <v>139</v>
      </c>
      <c r="L51" s="399" t="s">
        <v>139</v>
      </c>
      <c r="M51" s="403">
        <v>0</v>
      </c>
      <c r="N51" s="282" t="s">
        <v>139</v>
      </c>
      <c r="O51" s="302" t="str">
        <f>IF(OR(M51=0,N51="NA"),"NA",IFERROR(INDEX('Data - Reference'!$B$37:$B$50,MATCH('Unit Summary - Rent Roll'!$M51,INDEX('Data - Reference'!$B$37:$J$50,,MATCH('Unit Summary - Rent Roll'!$N51,'Data - Reference'!$B$37:$J$37,0)),-1),1),"NA"))</f>
        <v>NA</v>
      </c>
      <c r="P51" s="239" t="s">
        <v>85</v>
      </c>
      <c r="Q51" s="239" t="s">
        <v>85</v>
      </c>
      <c r="R51" s="188">
        <v>0</v>
      </c>
      <c r="S51" s="364">
        <f t="shared" si="9"/>
        <v>0</v>
      </c>
      <c r="T51" s="97">
        <f t="shared" si="10"/>
        <v>0</v>
      </c>
      <c r="U51" s="188">
        <v>0</v>
      </c>
      <c r="V51" s="364">
        <f t="shared" si="11"/>
        <v>0</v>
      </c>
      <c r="W51" s="97">
        <f t="shared" si="12"/>
        <v>0</v>
      </c>
      <c r="X51" s="71">
        <f>IFERROR(IF(INDEX(AC$14:AC$18,MATCH($E51,$AB$14:$AB$18,0))&lt;&gt;0,INDEX(AC$14:AC$18,MATCH($E51,$AB$14:$AB$18,0)),
IF($M51="Market",0,IF($L51="HUD FMR",INDEX('Data - Reference'!$B$31:$G$31,MATCH($E51,'Data - Reference'!$B$9:$G$9,0)),INDEX('Data - Reference'!$B$9:$G$31,MATCH($K51,'Data - Reference'!$B$9:$B$31,0),MATCH($E51,'Data - Reference'!$B$9:$G$9,0))))),0)</f>
        <v>0</v>
      </c>
      <c r="Y51" s="71">
        <f>IFERROR(IF(INDEX(AD$14:AD$18,MATCH($E51,$AB$14:$AB$18,0))&lt;&gt;0,INDEX(AD$14:AD$18,MATCH($E51,$AB$14:$AB$18,0)),
IF($K51="None - Market",0,-INDEX('Data - Reference'!$B$32:$G$32,MATCH($E51,'Data - Reference'!$B$9:$G$9,0)))),0)</f>
        <v>0</v>
      </c>
      <c r="Z51" s="74">
        <f t="shared" si="6"/>
        <v>0</v>
      </c>
      <c r="AA51" s="67">
        <f t="shared" si="13"/>
        <v>0</v>
      </c>
      <c r="AB51" s="97">
        <f t="shared" si="14"/>
        <v>0</v>
      </c>
      <c r="AC51" s="82">
        <f t="shared" si="5"/>
        <v>0</v>
      </c>
      <c r="AD51" s="83">
        <f t="shared" si="15"/>
        <v>0</v>
      </c>
      <c r="AE51" s="97">
        <f t="shared" si="16"/>
        <v>0</v>
      </c>
      <c r="AF51" s="415" t="str">
        <f t="shared" si="7"/>
        <v>NA</v>
      </c>
      <c r="AG51" s="420" t="str">
        <f t="shared" si="17"/>
        <v>NA</v>
      </c>
      <c r="AH51" s="420" t="str">
        <f t="shared" si="18"/>
        <v>NA</v>
      </c>
      <c r="AI51" s="417" t="str">
        <f t="shared" si="4"/>
        <v>NA</v>
      </c>
      <c r="AJ51" s="417" t="str">
        <f t="shared" si="19"/>
        <v>NA</v>
      </c>
      <c r="AK51" s="524" t="str">
        <f>IFERROR(INDEX('Legacy Resident Reference'!R:R,MATCH('Unit Summary - Rent Roll'!AJ51,'Legacy Resident Reference'!P:P,0)),"NA")</f>
        <v>NA</v>
      </c>
    </row>
    <row r="52" spans="2:37" ht="13.8" x14ac:dyDescent="0.3">
      <c r="B52" s="236">
        <v>26</v>
      </c>
      <c r="C52" s="580" t="s">
        <v>143</v>
      </c>
      <c r="D52" s="581"/>
      <c r="E52" s="186" t="s">
        <v>139</v>
      </c>
      <c r="F52" s="187">
        <v>0</v>
      </c>
      <c r="G52" s="239" t="s">
        <v>85</v>
      </c>
      <c r="H52" s="243">
        <v>0</v>
      </c>
      <c r="I52" s="373">
        <f t="shared" si="8"/>
        <v>0</v>
      </c>
      <c r="J52" s="250" t="s">
        <v>139</v>
      </c>
      <c r="K52" s="508" t="s">
        <v>139</v>
      </c>
      <c r="L52" s="399" t="s">
        <v>139</v>
      </c>
      <c r="M52" s="403">
        <v>0</v>
      </c>
      <c r="N52" s="282" t="s">
        <v>139</v>
      </c>
      <c r="O52" s="302" t="str">
        <f>IF(OR(M52=0,N52="NA"),"NA",IFERROR(INDEX('Data - Reference'!$B$37:$B$50,MATCH('Unit Summary - Rent Roll'!$M52,INDEX('Data - Reference'!$B$37:$J$50,,MATCH('Unit Summary - Rent Roll'!$N52,'Data - Reference'!$B$37:$J$37,0)),-1),1),"NA"))</f>
        <v>NA</v>
      </c>
      <c r="P52" s="239" t="s">
        <v>85</v>
      </c>
      <c r="Q52" s="239" t="s">
        <v>85</v>
      </c>
      <c r="R52" s="188">
        <v>0</v>
      </c>
      <c r="S52" s="364">
        <f t="shared" si="9"/>
        <v>0</v>
      </c>
      <c r="T52" s="97">
        <f t="shared" si="10"/>
        <v>0</v>
      </c>
      <c r="U52" s="188">
        <v>0</v>
      </c>
      <c r="V52" s="364">
        <f t="shared" si="11"/>
        <v>0</v>
      </c>
      <c r="W52" s="97">
        <f t="shared" si="12"/>
        <v>0</v>
      </c>
      <c r="X52" s="71">
        <f>IFERROR(IF(INDEX(AC$14:AC$18,MATCH($E52,$AB$14:$AB$18,0))&lt;&gt;0,INDEX(AC$14:AC$18,MATCH($E52,$AB$14:$AB$18,0)),
IF($M52="Market",0,IF($L52="HUD FMR",INDEX('Data - Reference'!$B$31:$G$31,MATCH($E52,'Data - Reference'!$B$9:$G$9,0)),INDEX('Data - Reference'!$B$9:$G$31,MATCH($K52,'Data - Reference'!$B$9:$B$31,0),MATCH($E52,'Data - Reference'!$B$9:$G$9,0))))),0)</f>
        <v>0</v>
      </c>
      <c r="Y52" s="71">
        <f>IFERROR(IF(INDEX(AD$14:AD$18,MATCH($E52,$AB$14:$AB$18,0))&lt;&gt;0,INDEX(AD$14:AD$18,MATCH($E52,$AB$14:$AB$18,0)),
IF($K52="None - Market",0,-INDEX('Data - Reference'!$B$32:$G$32,MATCH($E52,'Data - Reference'!$B$9:$G$9,0)))),0)</f>
        <v>0</v>
      </c>
      <c r="Z52" s="74">
        <f t="shared" si="6"/>
        <v>0</v>
      </c>
      <c r="AA52" s="67">
        <f t="shared" si="13"/>
        <v>0</v>
      </c>
      <c r="AB52" s="97">
        <f t="shared" si="14"/>
        <v>0</v>
      </c>
      <c r="AC52" s="82">
        <f t="shared" si="5"/>
        <v>0</v>
      </c>
      <c r="AD52" s="83">
        <f t="shared" si="15"/>
        <v>0</v>
      </c>
      <c r="AE52" s="97">
        <f t="shared" si="16"/>
        <v>0</v>
      </c>
      <c r="AF52" s="415" t="str">
        <f t="shared" si="7"/>
        <v>NA</v>
      </c>
      <c r="AG52" s="420" t="str">
        <f t="shared" si="17"/>
        <v>NA</v>
      </c>
      <c r="AH52" s="420" t="str">
        <f t="shared" si="18"/>
        <v>NA</v>
      </c>
      <c r="AI52" s="417" t="str">
        <f t="shared" si="4"/>
        <v>NA</v>
      </c>
      <c r="AJ52" s="417" t="str">
        <f t="shared" si="19"/>
        <v>NA</v>
      </c>
      <c r="AK52" s="524" t="str">
        <f>IFERROR(INDEX('Legacy Resident Reference'!R:R,MATCH('Unit Summary - Rent Roll'!AJ52,'Legacy Resident Reference'!P:P,0)),"NA")</f>
        <v>NA</v>
      </c>
    </row>
    <row r="53" spans="2:37" ht="13.8" x14ac:dyDescent="0.3">
      <c r="B53" s="236">
        <v>27</v>
      </c>
      <c r="C53" s="580" t="s">
        <v>143</v>
      </c>
      <c r="D53" s="581"/>
      <c r="E53" s="186" t="s">
        <v>139</v>
      </c>
      <c r="F53" s="187">
        <v>0</v>
      </c>
      <c r="G53" s="239" t="s">
        <v>85</v>
      </c>
      <c r="H53" s="243">
        <v>0</v>
      </c>
      <c r="I53" s="373">
        <f t="shared" si="8"/>
        <v>0</v>
      </c>
      <c r="J53" s="250" t="s">
        <v>139</v>
      </c>
      <c r="K53" s="508" t="s">
        <v>139</v>
      </c>
      <c r="L53" s="399" t="s">
        <v>139</v>
      </c>
      <c r="M53" s="403">
        <v>0</v>
      </c>
      <c r="N53" s="282" t="s">
        <v>139</v>
      </c>
      <c r="O53" s="302" t="str">
        <f>IF(OR(M53=0,N53="NA"),"NA",IFERROR(INDEX('Data - Reference'!$B$37:$B$50,MATCH('Unit Summary - Rent Roll'!$M53,INDEX('Data - Reference'!$B$37:$J$50,,MATCH('Unit Summary - Rent Roll'!$N53,'Data - Reference'!$B$37:$J$37,0)),-1),1),"NA"))</f>
        <v>NA</v>
      </c>
      <c r="P53" s="239" t="s">
        <v>85</v>
      </c>
      <c r="Q53" s="239" t="s">
        <v>85</v>
      </c>
      <c r="R53" s="188">
        <v>0</v>
      </c>
      <c r="S53" s="364">
        <f t="shared" si="9"/>
        <v>0</v>
      </c>
      <c r="T53" s="97">
        <f t="shared" si="10"/>
        <v>0</v>
      </c>
      <c r="U53" s="188">
        <v>0</v>
      </c>
      <c r="V53" s="364">
        <f t="shared" si="11"/>
        <v>0</v>
      </c>
      <c r="W53" s="97">
        <f t="shared" si="12"/>
        <v>0</v>
      </c>
      <c r="X53" s="71">
        <f>IFERROR(IF(INDEX(AC$14:AC$18,MATCH($E53,$AB$14:$AB$18,0))&lt;&gt;0,INDEX(AC$14:AC$18,MATCH($E53,$AB$14:$AB$18,0)),
IF($M53="Market",0,IF($L53="HUD FMR",INDEX('Data - Reference'!$B$31:$G$31,MATCH($E53,'Data - Reference'!$B$9:$G$9,0)),INDEX('Data - Reference'!$B$9:$G$31,MATCH($K53,'Data - Reference'!$B$9:$B$31,0),MATCH($E53,'Data - Reference'!$B$9:$G$9,0))))),0)</f>
        <v>0</v>
      </c>
      <c r="Y53" s="71">
        <f>IFERROR(IF(INDEX(AD$14:AD$18,MATCH($E53,$AB$14:$AB$18,0))&lt;&gt;0,INDEX(AD$14:AD$18,MATCH($E53,$AB$14:$AB$18,0)),
IF($K53="None - Market",0,-INDEX('Data - Reference'!$B$32:$G$32,MATCH($E53,'Data - Reference'!$B$9:$G$9,0)))),0)</f>
        <v>0</v>
      </c>
      <c r="Z53" s="74">
        <f t="shared" si="6"/>
        <v>0</v>
      </c>
      <c r="AA53" s="67">
        <f t="shared" si="13"/>
        <v>0</v>
      </c>
      <c r="AB53" s="97">
        <f t="shared" si="14"/>
        <v>0</v>
      </c>
      <c r="AC53" s="82">
        <f t="shared" si="5"/>
        <v>0</v>
      </c>
      <c r="AD53" s="83">
        <f t="shared" si="15"/>
        <v>0</v>
      </c>
      <c r="AE53" s="97">
        <f t="shared" si="16"/>
        <v>0</v>
      </c>
      <c r="AF53" s="415" t="str">
        <f t="shared" si="7"/>
        <v>NA</v>
      </c>
      <c r="AG53" s="420" t="str">
        <f t="shared" si="17"/>
        <v>NA</v>
      </c>
      <c r="AH53" s="420" t="str">
        <f t="shared" si="18"/>
        <v>NA</v>
      </c>
      <c r="AI53" s="417" t="str">
        <f t="shared" si="4"/>
        <v>NA</v>
      </c>
      <c r="AJ53" s="417" t="str">
        <f t="shared" si="19"/>
        <v>NA</v>
      </c>
      <c r="AK53" s="524" t="str">
        <f>IFERROR(INDEX('Legacy Resident Reference'!R:R,MATCH('Unit Summary - Rent Roll'!AJ53,'Legacy Resident Reference'!P:P,0)),"NA")</f>
        <v>NA</v>
      </c>
    </row>
    <row r="54" spans="2:37" ht="13.8" x14ac:dyDescent="0.3">
      <c r="B54" s="236">
        <v>28</v>
      </c>
      <c r="C54" s="580" t="s">
        <v>143</v>
      </c>
      <c r="D54" s="581"/>
      <c r="E54" s="186" t="s">
        <v>139</v>
      </c>
      <c r="F54" s="187">
        <v>0</v>
      </c>
      <c r="G54" s="239" t="s">
        <v>85</v>
      </c>
      <c r="H54" s="243">
        <v>0</v>
      </c>
      <c r="I54" s="373">
        <f t="shared" si="8"/>
        <v>0</v>
      </c>
      <c r="J54" s="250" t="s">
        <v>139</v>
      </c>
      <c r="K54" s="508" t="s">
        <v>139</v>
      </c>
      <c r="L54" s="399" t="s">
        <v>139</v>
      </c>
      <c r="M54" s="403">
        <v>0</v>
      </c>
      <c r="N54" s="282" t="s">
        <v>139</v>
      </c>
      <c r="O54" s="302" t="str">
        <f>IF(OR(M54=0,N54="NA"),"NA",IFERROR(INDEX('Data - Reference'!$B$37:$B$50,MATCH('Unit Summary - Rent Roll'!$M54,INDEX('Data - Reference'!$B$37:$J$50,,MATCH('Unit Summary - Rent Roll'!$N54,'Data - Reference'!$B$37:$J$37,0)),-1),1),"NA"))</f>
        <v>NA</v>
      </c>
      <c r="P54" s="239" t="s">
        <v>85</v>
      </c>
      <c r="Q54" s="239" t="s">
        <v>85</v>
      </c>
      <c r="R54" s="188">
        <v>0</v>
      </c>
      <c r="S54" s="364">
        <f t="shared" si="9"/>
        <v>0</v>
      </c>
      <c r="T54" s="97">
        <f t="shared" si="10"/>
        <v>0</v>
      </c>
      <c r="U54" s="188">
        <v>0</v>
      </c>
      <c r="V54" s="364">
        <f t="shared" si="11"/>
        <v>0</v>
      </c>
      <c r="W54" s="97">
        <f t="shared" si="12"/>
        <v>0</v>
      </c>
      <c r="X54" s="71">
        <f>IFERROR(IF(INDEX(AC$14:AC$18,MATCH($E54,$AB$14:$AB$18,0))&lt;&gt;0,INDEX(AC$14:AC$18,MATCH($E54,$AB$14:$AB$18,0)),
IF($M54="Market",0,IF($L54="HUD FMR",INDEX('Data - Reference'!$B$31:$G$31,MATCH($E54,'Data - Reference'!$B$9:$G$9,0)),INDEX('Data - Reference'!$B$9:$G$31,MATCH($K54,'Data - Reference'!$B$9:$B$31,0),MATCH($E54,'Data - Reference'!$B$9:$G$9,0))))),0)</f>
        <v>0</v>
      </c>
      <c r="Y54" s="71">
        <f>IFERROR(IF(INDEX(AD$14:AD$18,MATCH($E54,$AB$14:$AB$18,0))&lt;&gt;0,INDEX(AD$14:AD$18,MATCH($E54,$AB$14:$AB$18,0)),
IF($K54="None - Market",0,-INDEX('Data - Reference'!$B$32:$G$32,MATCH($E54,'Data - Reference'!$B$9:$G$9,0)))),0)</f>
        <v>0</v>
      </c>
      <c r="Z54" s="74">
        <f t="shared" si="6"/>
        <v>0</v>
      </c>
      <c r="AA54" s="67">
        <f t="shared" si="13"/>
        <v>0</v>
      </c>
      <c r="AB54" s="97">
        <f t="shared" si="14"/>
        <v>0</v>
      </c>
      <c r="AC54" s="82">
        <f t="shared" si="5"/>
        <v>0</v>
      </c>
      <c r="AD54" s="83">
        <f t="shared" si="15"/>
        <v>0</v>
      </c>
      <c r="AE54" s="97">
        <f t="shared" si="16"/>
        <v>0</v>
      </c>
      <c r="AF54" s="415" t="str">
        <f t="shared" si="7"/>
        <v>NA</v>
      </c>
      <c r="AG54" s="420" t="str">
        <f t="shared" si="17"/>
        <v>NA</v>
      </c>
      <c r="AH54" s="420" t="str">
        <f t="shared" si="18"/>
        <v>NA</v>
      </c>
      <c r="AI54" s="417" t="str">
        <f t="shared" si="4"/>
        <v>NA</v>
      </c>
      <c r="AJ54" s="417" t="str">
        <f t="shared" si="19"/>
        <v>NA</v>
      </c>
      <c r="AK54" s="524" t="str">
        <f>IFERROR(INDEX('Legacy Resident Reference'!R:R,MATCH('Unit Summary - Rent Roll'!AJ54,'Legacy Resident Reference'!P:P,0)),"NA")</f>
        <v>NA</v>
      </c>
    </row>
    <row r="55" spans="2:37" ht="13.8" x14ac:dyDescent="0.3">
      <c r="B55" s="236">
        <v>29</v>
      </c>
      <c r="C55" s="580" t="s">
        <v>143</v>
      </c>
      <c r="D55" s="581"/>
      <c r="E55" s="186" t="s">
        <v>139</v>
      </c>
      <c r="F55" s="187">
        <v>0</v>
      </c>
      <c r="G55" s="239" t="s">
        <v>85</v>
      </c>
      <c r="H55" s="243">
        <v>0</v>
      </c>
      <c r="I55" s="373">
        <f t="shared" si="8"/>
        <v>0</v>
      </c>
      <c r="J55" s="250" t="s">
        <v>139</v>
      </c>
      <c r="K55" s="508" t="s">
        <v>139</v>
      </c>
      <c r="L55" s="399" t="s">
        <v>139</v>
      </c>
      <c r="M55" s="403">
        <v>0</v>
      </c>
      <c r="N55" s="282" t="s">
        <v>139</v>
      </c>
      <c r="O55" s="302" t="str">
        <f>IF(OR(M55=0,N55="NA"),"NA",IFERROR(INDEX('Data - Reference'!$B$37:$B$50,MATCH('Unit Summary - Rent Roll'!$M55,INDEX('Data - Reference'!$B$37:$J$50,,MATCH('Unit Summary - Rent Roll'!$N55,'Data - Reference'!$B$37:$J$37,0)),-1),1),"NA"))</f>
        <v>NA</v>
      </c>
      <c r="P55" s="239" t="s">
        <v>85</v>
      </c>
      <c r="Q55" s="239" t="s">
        <v>85</v>
      </c>
      <c r="R55" s="188">
        <v>0</v>
      </c>
      <c r="S55" s="364">
        <f t="shared" si="9"/>
        <v>0</v>
      </c>
      <c r="T55" s="97">
        <f t="shared" si="10"/>
        <v>0</v>
      </c>
      <c r="U55" s="188">
        <v>0</v>
      </c>
      <c r="V55" s="364">
        <f t="shared" si="11"/>
        <v>0</v>
      </c>
      <c r="W55" s="97">
        <f t="shared" si="12"/>
        <v>0</v>
      </c>
      <c r="X55" s="71">
        <f>IFERROR(IF(INDEX(AC$14:AC$18,MATCH($E55,$AB$14:$AB$18,0))&lt;&gt;0,INDEX(AC$14:AC$18,MATCH($E55,$AB$14:$AB$18,0)),
IF($M55="Market",0,IF($L55="HUD FMR",INDEX('Data - Reference'!$B$31:$G$31,MATCH($E55,'Data - Reference'!$B$9:$G$9,0)),INDEX('Data - Reference'!$B$9:$G$31,MATCH($K55,'Data - Reference'!$B$9:$B$31,0),MATCH($E55,'Data - Reference'!$B$9:$G$9,0))))),0)</f>
        <v>0</v>
      </c>
      <c r="Y55" s="71">
        <f>IFERROR(IF(INDEX(AD$14:AD$18,MATCH($E55,$AB$14:$AB$18,0))&lt;&gt;0,INDEX(AD$14:AD$18,MATCH($E55,$AB$14:$AB$18,0)),
IF($K55="None - Market",0,-INDEX('Data - Reference'!$B$32:$G$32,MATCH($E55,'Data - Reference'!$B$9:$G$9,0)))),0)</f>
        <v>0</v>
      </c>
      <c r="Z55" s="74">
        <f t="shared" si="6"/>
        <v>0</v>
      </c>
      <c r="AA55" s="67">
        <f t="shared" si="13"/>
        <v>0</v>
      </c>
      <c r="AB55" s="97">
        <f t="shared" si="14"/>
        <v>0</v>
      </c>
      <c r="AC55" s="82">
        <f t="shared" si="5"/>
        <v>0</v>
      </c>
      <c r="AD55" s="83">
        <f t="shared" si="15"/>
        <v>0</v>
      </c>
      <c r="AE55" s="97">
        <f t="shared" si="16"/>
        <v>0</v>
      </c>
      <c r="AF55" s="415" t="str">
        <f t="shared" si="7"/>
        <v>NA</v>
      </c>
      <c r="AG55" s="420" t="str">
        <f t="shared" si="17"/>
        <v>NA</v>
      </c>
      <c r="AH55" s="420" t="str">
        <f t="shared" si="18"/>
        <v>NA</v>
      </c>
      <c r="AI55" s="417" t="str">
        <f t="shared" si="4"/>
        <v>NA</v>
      </c>
      <c r="AJ55" s="417" t="str">
        <f t="shared" si="19"/>
        <v>NA</v>
      </c>
      <c r="AK55" s="524" t="str">
        <f>IFERROR(INDEX('Legacy Resident Reference'!R:R,MATCH('Unit Summary - Rent Roll'!AJ55,'Legacy Resident Reference'!P:P,0)),"NA")</f>
        <v>NA</v>
      </c>
    </row>
    <row r="56" spans="2:37" ht="13.8" x14ac:dyDescent="0.3">
      <c r="B56" s="236">
        <v>30</v>
      </c>
      <c r="C56" s="580" t="s">
        <v>143</v>
      </c>
      <c r="D56" s="581"/>
      <c r="E56" s="186" t="s">
        <v>139</v>
      </c>
      <c r="F56" s="187">
        <v>0</v>
      </c>
      <c r="G56" s="239" t="s">
        <v>85</v>
      </c>
      <c r="H56" s="243">
        <v>0</v>
      </c>
      <c r="I56" s="373">
        <f t="shared" si="8"/>
        <v>0</v>
      </c>
      <c r="J56" s="250" t="s">
        <v>139</v>
      </c>
      <c r="K56" s="508" t="s">
        <v>139</v>
      </c>
      <c r="L56" s="399" t="s">
        <v>139</v>
      </c>
      <c r="M56" s="403">
        <v>0</v>
      </c>
      <c r="N56" s="282" t="s">
        <v>139</v>
      </c>
      <c r="O56" s="302" t="str">
        <f>IF(OR(M56=0,N56="NA"),"NA",IFERROR(INDEX('Data - Reference'!$B$37:$B$50,MATCH('Unit Summary - Rent Roll'!$M56,INDEX('Data - Reference'!$B$37:$J$50,,MATCH('Unit Summary - Rent Roll'!$N56,'Data - Reference'!$B$37:$J$37,0)),-1),1),"NA"))</f>
        <v>NA</v>
      </c>
      <c r="P56" s="239" t="s">
        <v>85</v>
      </c>
      <c r="Q56" s="239" t="s">
        <v>85</v>
      </c>
      <c r="R56" s="188">
        <v>0</v>
      </c>
      <c r="S56" s="364">
        <f t="shared" si="9"/>
        <v>0</v>
      </c>
      <c r="T56" s="97">
        <f t="shared" si="10"/>
        <v>0</v>
      </c>
      <c r="U56" s="188">
        <v>0</v>
      </c>
      <c r="V56" s="364">
        <f t="shared" si="11"/>
        <v>0</v>
      </c>
      <c r="W56" s="97">
        <f t="shared" si="12"/>
        <v>0</v>
      </c>
      <c r="X56" s="71">
        <f>IFERROR(IF(INDEX(AC$14:AC$18,MATCH($E56,$AB$14:$AB$18,0))&lt;&gt;0,INDEX(AC$14:AC$18,MATCH($E56,$AB$14:$AB$18,0)),
IF($M56="Market",0,IF($L56="HUD FMR",INDEX('Data - Reference'!$B$31:$G$31,MATCH($E56,'Data - Reference'!$B$9:$G$9,0)),INDEX('Data - Reference'!$B$9:$G$31,MATCH($K56,'Data - Reference'!$B$9:$B$31,0),MATCH($E56,'Data - Reference'!$B$9:$G$9,0))))),0)</f>
        <v>0</v>
      </c>
      <c r="Y56" s="71">
        <f>IFERROR(IF(INDEX(AD$14:AD$18,MATCH($E56,$AB$14:$AB$18,0))&lt;&gt;0,INDEX(AD$14:AD$18,MATCH($E56,$AB$14:$AB$18,0)),
IF($K56="None - Market",0,-INDEX('Data - Reference'!$B$32:$G$32,MATCH($E56,'Data - Reference'!$B$9:$G$9,0)))),0)</f>
        <v>0</v>
      </c>
      <c r="Z56" s="74">
        <f t="shared" si="6"/>
        <v>0</v>
      </c>
      <c r="AA56" s="67">
        <f t="shared" si="13"/>
        <v>0</v>
      </c>
      <c r="AB56" s="97">
        <f t="shared" si="14"/>
        <v>0</v>
      </c>
      <c r="AC56" s="82">
        <f t="shared" si="5"/>
        <v>0</v>
      </c>
      <c r="AD56" s="83">
        <f t="shared" si="15"/>
        <v>0</v>
      </c>
      <c r="AE56" s="97">
        <f t="shared" si="16"/>
        <v>0</v>
      </c>
      <c r="AF56" s="415" t="str">
        <f t="shared" si="7"/>
        <v>NA</v>
      </c>
      <c r="AG56" s="420" t="str">
        <f t="shared" si="17"/>
        <v>NA</v>
      </c>
      <c r="AH56" s="420" t="str">
        <f t="shared" si="18"/>
        <v>NA</v>
      </c>
      <c r="AI56" s="417" t="str">
        <f t="shared" si="4"/>
        <v>NA</v>
      </c>
      <c r="AJ56" s="417" t="str">
        <f t="shared" si="19"/>
        <v>NA</v>
      </c>
      <c r="AK56" s="524" t="str">
        <f>IFERROR(INDEX('Legacy Resident Reference'!R:R,MATCH('Unit Summary - Rent Roll'!AJ56,'Legacy Resident Reference'!P:P,0)),"NA")</f>
        <v>NA</v>
      </c>
    </row>
    <row r="57" spans="2:37" ht="13.8" x14ac:dyDescent="0.3">
      <c r="B57" s="236">
        <v>31</v>
      </c>
      <c r="C57" s="580" t="s">
        <v>143</v>
      </c>
      <c r="D57" s="581"/>
      <c r="E57" s="186" t="s">
        <v>139</v>
      </c>
      <c r="F57" s="187">
        <v>0</v>
      </c>
      <c r="G57" s="239" t="s">
        <v>85</v>
      </c>
      <c r="H57" s="243">
        <v>0</v>
      </c>
      <c r="I57" s="373">
        <f t="shared" si="8"/>
        <v>0</v>
      </c>
      <c r="J57" s="250" t="s">
        <v>139</v>
      </c>
      <c r="K57" s="508" t="s">
        <v>139</v>
      </c>
      <c r="L57" s="399" t="s">
        <v>139</v>
      </c>
      <c r="M57" s="403">
        <v>0</v>
      </c>
      <c r="N57" s="282" t="s">
        <v>139</v>
      </c>
      <c r="O57" s="302" t="str">
        <f>IF(OR(M57=0,N57="NA"),"NA",IFERROR(INDEX('Data - Reference'!$B$37:$B$50,MATCH('Unit Summary - Rent Roll'!$M57,INDEX('Data - Reference'!$B$37:$J$50,,MATCH('Unit Summary - Rent Roll'!$N57,'Data - Reference'!$B$37:$J$37,0)),-1),1),"NA"))</f>
        <v>NA</v>
      </c>
      <c r="P57" s="239" t="s">
        <v>85</v>
      </c>
      <c r="Q57" s="239" t="s">
        <v>85</v>
      </c>
      <c r="R57" s="188">
        <v>0</v>
      </c>
      <c r="S57" s="364">
        <f t="shared" si="9"/>
        <v>0</v>
      </c>
      <c r="T57" s="97">
        <f t="shared" si="10"/>
        <v>0</v>
      </c>
      <c r="U57" s="188">
        <v>0</v>
      </c>
      <c r="V57" s="364">
        <f t="shared" si="11"/>
        <v>0</v>
      </c>
      <c r="W57" s="97">
        <f t="shared" si="12"/>
        <v>0</v>
      </c>
      <c r="X57" s="71">
        <f>IFERROR(IF(INDEX(AC$14:AC$18,MATCH($E57,$AB$14:$AB$18,0))&lt;&gt;0,INDEX(AC$14:AC$18,MATCH($E57,$AB$14:$AB$18,0)),
IF($M57="Market",0,IF($L57="HUD FMR",INDEX('Data - Reference'!$B$31:$G$31,MATCH($E57,'Data - Reference'!$B$9:$G$9,0)),INDEX('Data - Reference'!$B$9:$G$31,MATCH($K57,'Data - Reference'!$B$9:$B$31,0),MATCH($E57,'Data - Reference'!$B$9:$G$9,0))))),0)</f>
        <v>0</v>
      </c>
      <c r="Y57" s="71">
        <f>IFERROR(IF(INDEX(AD$14:AD$18,MATCH($E57,$AB$14:$AB$18,0))&lt;&gt;0,INDEX(AD$14:AD$18,MATCH($E57,$AB$14:$AB$18,0)),
IF($K57="None - Market",0,-INDEX('Data - Reference'!$B$32:$G$32,MATCH($E57,'Data - Reference'!$B$9:$G$9,0)))),0)</f>
        <v>0</v>
      </c>
      <c r="Z57" s="74">
        <f t="shared" si="6"/>
        <v>0</v>
      </c>
      <c r="AA57" s="67">
        <f t="shared" si="13"/>
        <v>0</v>
      </c>
      <c r="AB57" s="97">
        <f t="shared" si="14"/>
        <v>0</v>
      </c>
      <c r="AC57" s="82">
        <f t="shared" si="5"/>
        <v>0</v>
      </c>
      <c r="AD57" s="83">
        <f t="shared" si="15"/>
        <v>0</v>
      </c>
      <c r="AE57" s="97">
        <f t="shared" si="16"/>
        <v>0</v>
      </c>
      <c r="AF57" s="415" t="str">
        <f t="shared" si="7"/>
        <v>NA</v>
      </c>
      <c r="AG57" s="420" t="str">
        <f t="shared" si="17"/>
        <v>NA</v>
      </c>
      <c r="AH57" s="420" t="str">
        <f t="shared" si="18"/>
        <v>NA</v>
      </c>
      <c r="AI57" s="417" t="str">
        <f t="shared" si="4"/>
        <v>NA</v>
      </c>
      <c r="AJ57" s="417" t="str">
        <f t="shared" si="19"/>
        <v>NA</v>
      </c>
      <c r="AK57" s="524" t="str">
        <f>IFERROR(INDEX('Legacy Resident Reference'!R:R,MATCH('Unit Summary - Rent Roll'!AJ57,'Legacy Resident Reference'!P:P,0)),"NA")</f>
        <v>NA</v>
      </c>
    </row>
    <row r="58" spans="2:37" ht="13.8" x14ac:dyDescent="0.3">
      <c r="B58" s="236">
        <v>32</v>
      </c>
      <c r="C58" s="580" t="s">
        <v>143</v>
      </c>
      <c r="D58" s="581"/>
      <c r="E58" s="186" t="s">
        <v>139</v>
      </c>
      <c r="F58" s="187">
        <v>0</v>
      </c>
      <c r="G58" s="239" t="s">
        <v>85</v>
      </c>
      <c r="H58" s="243">
        <v>0</v>
      </c>
      <c r="I58" s="373">
        <f t="shared" si="8"/>
        <v>0</v>
      </c>
      <c r="J58" s="250" t="s">
        <v>139</v>
      </c>
      <c r="K58" s="508" t="s">
        <v>139</v>
      </c>
      <c r="L58" s="399" t="s">
        <v>139</v>
      </c>
      <c r="M58" s="403">
        <v>0</v>
      </c>
      <c r="N58" s="282" t="s">
        <v>139</v>
      </c>
      <c r="O58" s="302" t="str">
        <f>IF(OR(M58=0,N58="NA"),"NA",IFERROR(INDEX('Data - Reference'!$B$37:$B$50,MATCH('Unit Summary - Rent Roll'!$M58,INDEX('Data - Reference'!$B$37:$J$50,,MATCH('Unit Summary - Rent Roll'!$N58,'Data - Reference'!$B$37:$J$37,0)),-1),1),"NA"))</f>
        <v>NA</v>
      </c>
      <c r="P58" s="239" t="s">
        <v>85</v>
      </c>
      <c r="Q58" s="239" t="s">
        <v>85</v>
      </c>
      <c r="R58" s="188">
        <v>0</v>
      </c>
      <c r="S58" s="364">
        <f t="shared" si="9"/>
        <v>0</v>
      </c>
      <c r="T58" s="97">
        <f t="shared" si="10"/>
        <v>0</v>
      </c>
      <c r="U58" s="188">
        <v>0</v>
      </c>
      <c r="V58" s="364">
        <f t="shared" si="11"/>
        <v>0</v>
      </c>
      <c r="W58" s="97">
        <f t="shared" si="12"/>
        <v>0</v>
      </c>
      <c r="X58" s="71">
        <f>IFERROR(IF(INDEX(AC$14:AC$18,MATCH($E58,$AB$14:$AB$18,0))&lt;&gt;0,INDEX(AC$14:AC$18,MATCH($E58,$AB$14:$AB$18,0)),
IF($M58="Market",0,IF($L58="HUD FMR",INDEX('Data - Reference'!$B$31:$G$31,MATCH($E58,'Data - Reference'!$B$9:$G$9,0)),INDEX('Data - Reference'!$B$9:$G$31,MATCH($K58,'Data - Reference'!$B$9:$B$31,0),MATCH($E58,'Data - Reference'!$B$9:$G$9,0))))),0)</f>
        <v>0</v>
      </c>
      <c r="Y58" s="71">
        <f>IFERROR(IF(INDEX(AD$14:AD$18,MATCH($E58,$AB$14:$AB$18,0))&lt;&gt;0,INDEX(AD$14:AD$18,MATCH($E58,$AB$14:$AB$18,0)),
IF($K58="None - Market",0,-INDEX('Data - Reference'!$B$32:$G$32,MATCH($E58,'Data - Reference'!$B$9:$G$9,0)))),0)</f>
        <v>0</v>
      </c>
      <c r="Z58" s="74">
        <f t="shared" si="6"/>
        <v>0</v>
      </c>
      <c r="AA58" s="67">
        <f t="shared" si="13"/>
        <v>0</v>
      </c>
      <c r="AB58" s="97">
        <f t="shared" si="14"/>
        <v>0</v>
      </c>
      <c r="AC58" s="82">
        <f t="shared" si="5"/>
        <v>0</v>
      </c>
      <c r="AD58" s="83">
        <f t="shared" si="15"/>
        <v>0</v>
      </c>
      <c r="AE58" s="97">
        <f t="shared" si="16"/>
        <v>0</v>
      </c>
      <c r="AF58" s="415" t="str">
        <f t="shared" si="7"/>
        <v>NA</v>
      </c>
      <c r="AG58" s="420" t="str">
        <f t="shared" si="17"/>
        <v>NA</v>
      </c>
      <c r="AH58" s="420" t="str">
        <f t="shared" si="18"/>
        <v>NA</v>
      </c>
      <c r="AI58" s="417" t="str">
        <f t="shared" si="4"/>
        <v>NA</v>
      </c>
      <c r="AJ58" s="417" t="str">
        <f t="shared" si="19"/>
        <v>NA</v>
      </c>
      <c r="AK58" s="524" t="str">
        <f>IFERROR(INDEX('Legacy Resident Reference'!R:R,MATCH('Unit Summary - Rent Roll'!AJ58,'Legacy Resident Reference'!P:P,0)),"NA")</f>
        <v>NA</v>
      </c>
    </row>
    <row r="59" spans="2:37" ht="13.8" x14ac:dyDescent="0.3">
      <c r="B59" s="236">
        <v>33</v>
      </c>
      <c r="C59" s="580" t="s">
        <v>143</v>
      </c>
      <c r="D59" s="581"/>
      <c r="E59" s="186" t="s">
        <v>139</v>
      </c>
      <c r="F59" s="187">
        <v>0</v>
      </c>
      <c r="G59" s="239" t="s">
        <v>85</v>
      </c>
      <c r="H59" s="243">
        <v>0</v>
      </c>
      <c r="I59" s="373">
        <f t="shared" si="8"/>
        <v>0</v>
      </c>
      <c r="J59" s="250" t="s">
        <v>139</v>
      </c>
      <c r="K59" s="508" t="s">
        <v>139</v>
      </c>
      <c r="L59" s="399" t="s">
        <v>139</v>
      </c>
      <c r="M59" s="403">
        <v>0</v>
      </c>
      <c r="N59" s="282" t="s">
        <v>139</v>
      </c>
      <c r="O59" s="302" t="str">
        <f>IF(OR(M59=0,N59="NA"),"NA",IFERROR(INDEX('Data - Reference'!$B$37:$B$50,MATCH('Unit Summary - Rent Roll'!$M59,INDEX('Data - Reference'!$B$37:$J$50,,MATCH('Unit Summary - Rent Roll'!$N59,'Data - Reference'!$B$37:$J$37,0)),-1),1),"NA"))</f>
        <v>NA</v>
      </c>
      <c r="P59" s="239" t="s">
        <v>85</v>
      </c>
      <c r="Q59" s="239" t="s">
        <v>85</v>
      </c>
      <c r="R59" s="188">
        <v>0</v>
      </c>
      <c r="S59" s="364">
        <f t="shared" si="9"/>
        <v>0</v>
      </c>
      <c r="T59" s="97">
        <f t="shared" si="10"/>
        <v>0</v>
      </c>
      <c r="U59" s="188">
        <v>0</v>
      </c>
      <c r="V59" s="364">
        <f t="shared" si="11"/>
        <v>0</v>
      </c>
      <c r="W59" s="97">
        <f t="shared" si="12"/>
        <v>0</v>
      </c>
      <c r="X59" s="71">
        <f>IFERROR(IF(INDEX(AC$14:AC$18,MATCH($E59,$AB$14:$AB$18,0))&lt;&gt;0,INDEX(AC$14:AC$18,MATCH($E59,$AB$14:$AB$18,0)),
IF($M59="Market",0,IF($L59="HUD FMR",INDEX('Data - Reference'!$B$31:$G$31,MATCH($E59,'Data - Reference'!$B$9:$G$9,0)),INDEX('Data - Reference'!$B$9:$G$31,MATCH($K59,'Data - Reference'!$B$9:$B$31,0),MATCH($E59,'Data - Reference'!$B$9:$G$9,0))))),0)</f>
        <v>0</v>
      </c>
      <c r="Y59" s="71">
        <f>IFERROR(IF(INDEX(AD$14:AD$18,MATCH($E59,$AB$14:$AB$18,0))&lt;&gt;0,INDEX(AD$14:AD$18,MATCH($E59,$AB$14:$AB$18,0)),
IF($K59="None - Market",0,-INDEX('Data - Reference'!$B$32:$G$32,MATCH($E59,'Data - Reference'!$B$9:$G$9,0)))),0)</f>
        <v>0</v>
      </c>
      <c r="Z59" s="74">
        <f t="shared" si="6"/>
        <v>0</v>
      </c>
      <c r="AA59" s="67">
        <f t="shared" si="13"/>
        <v>0</v>
      </c>
      <c r="AB59" s="97">
        <f t="shared" si="14"/>
        <v>0</v>
      </c>
      <c r="AC59" s="82">
        <f t="shared" si="5"/>
        <v>0</v>
      </c>
      <c r="AD59" s="83">
        <f t="shared" si="15"/>
        <v>0</v>
      </c>
      <c r="AE59" s="97">
        <f t="shared" si="16"/>
        <v>0</v>
      </c>
      <c r="AF59" s="415" t="str">
        <f t="shared" si="7"/>
        <v>NA</v>
      </c>
      <c r="AG59" s="420" t="str">
        <f t="shared" si="17"/>
        <v>NA</v>
      </c>
      <c r="AH59" s="420" t="str">
        <f t="shared" si="18"/>
        <v>NA</v>
      </c>
      <c r="AI59" s="417" t="str">
        <f t="shared" si="4"/>
        <v>NA</v>
      </c>
      <c r="AJ59" s="417" t="str">
        <f t="shared" si="19"/>
        <v>NA</v>
      </c>
      <c r="AK59" s="524" t="str">
        <f>IFERROR(INDEX('Legacy Resident Reference'!R:R,MATCH('Unit Summary - Rent Roll'!AJ59,'Legacy Resident Reference'!P:P,0)),"NA")</f>
        <v>NA</v>
      </c>
    </row>
    <row r="60" spans="2:37" ht="13.8" x14ac:dyDescent="0.3">
      <c r="B60" s="236">
        <v>34</v>
      </c>
      <c r="C60" s="580" t="s">
        <v>143</v>
      </c>
      <c r="D60" s="581"/>
      <c r="E60" s="186" t="s">
        <v>139</v>
      </c>
      <c r="F60" s="187">
        <v>0</v>
      </c>
      <c r="G60" s="239" t="s">
        <v>85</v>
      </c>
      <c r="H60" s="243">
        <v>0</v>
      </c>
      <c r="I60" s="373">
        <f t="shared" si="8"/>
        <v>0</v>
      </c>
      <c r="J60" s="250" t="s">
        <v>139</v>
      </c>
      <c r="K60" s="508" t="s">
        <v>139</v>
      </c>
      <c r="L60" s="399" t="s">
        <v>139</v>
      </c>
      <c r="M60" s="403">
        <v>0</v>
      </c>
      <c r="N60" s="282" t="s">
        <v>139</v>
      </c>
      <c r="O60" s="302" t="str">
        <f>IF(OR(M60=0,N60="NA"),"NA",IFERROR(INDEX('Data - Reference'!$B$37:$B$50,MATCH('Unit Summary - Rent Roll'!$M60,INDEX('Data - Reference'!$B$37:$J$50,,MATCH('Unit Summary - Rent Roll'!$N60,'Data - Reference'!$B$37:$J$37,0)),-1),1),"NA"))</f>
        <v>NA</v>
      </c>
      <c r="P60" s="239" t="s">
        <v>85</v>
      </c>
      <c r="Q60" s="239" t="s">
        <v>85</v>
      </c>
      <c r="R60" s="188">
        <v>0</v>
      </c>
      <c r="S60" s="364">
        <f t="shared" si="9"/>
        <v>0</v>
      </c>
      <c r="T60" s="97">
        <f t="shared" si="10"/>
        <v>0</v>
      </c>
      <c r="U60" s="188">
        <v>0</v>
      </c>
      <c r="V60" s="364">
        <f t="shared" si="11"/>
        <v>0</v>
      </c>
      <c r="W60" s="97">
        <f t="shared" si="12"/>
        <v>0</v>
      </c>
      <c r="X60" s="71">
        <f>IFERROR(IF(INDEX(AC$14:AC$18,MATCH($E60,$AB$14:$AB$18,0))&lt;&gt;0,INDEX(AC$14:AC$18,MATCH($E60,$AB$14:$AB$18,0)),
IF($M60="Market",0,IF($L60="HUD FMR",INDEX('Data - Reference'!$B$31:$G$31,MATCH($E60,'Data - Reference'!$B$9:$G$9,0)),INDEX('Data - Reference'!$B$9:$G$31,MATCH($K60,'Data - Reference'!$B$9:$B$31,0),MATCH($E60,'Data - Reference'!$B$9:$G$9,0))))),0)</f>
        <v>0</v>
      </c>
      <c r="Y60" s="71">
        <f>IFERROR(IF(INDEX(AD$14:AD$18,MATCH($E60,$AB$14:$AB$18,0))&lt;&gt;0,INDEX(AD$14:AD$18,MATCH($E60,$AB$14:$AB$18,0)),
IF($K60="None - Market",0,-INDEX('Data - Reference'!$B$32:$G$32,MATCH($E60,'Data - Reference'!$B$9:$G$9,0)))),0)</f>
        <v>0</v>
      </c>
      <c r="Z60" s="74">
        <f t="shared" si="6"/>
        <v>0</v>
      </c>
      <c r="AA60" s="67">
        <f t="shared" si="13"/>
        <v>0</v>
      </c>
      <c r="AB60" s="97">
        <f t="shared" si="14"/>
        <v>0</v>
      </c>
      <c r="AC60" s="82">
        <f t="shared" si="5"/>
        <v>0</v>
      </c>
      <c r="AD60" s="83">
        <f t="shared" si="15"/>
        <v>0</v>
      </c>
      <c r="AE60" s="97">
        <f t="shared" si="16"/>
        <v>0</v>
      </c>
      <c r="AF60" s="415" t="str">
        <f t="shared" si="7"/>
        <v>NA</v>
      </c>
      <c r="AG60" s="420" t="str">
        <f t="shared" si="17"/>
        <v>NA</v>
      </c>
      <c r="AH60" s="420" t="str">
        <f t="shared" si="18"/>
        <v>NA</v>
      </c>
      <c r="AI60" s="417" t="str">
        <f t="shared" si="4"/>
        <v>NA</v>
      </c>
      <c r="AJ60" s="417" t="str">
        <f t="shared" si="19"/>
        <v>NA</v>
      </c>
      <c r="AK60" s="524" t="str">
        <f>IFERROR(INDEX('Legacy Resident Reference'!R:R,MATCH('Unit Summary - Rent Roll'!AJ60,'Legacy Resident Reference'!P:P,0)),"NA")</f>
        <v>NA</v>
      </c>
    </row>
    <row r="61" spans="2:37" ht="13.8" x14ac:dyDescent="0.3">
      <c r="B61" s="236">
        <v>35</v>
      </c>
      <c r="C61" s="580" t="s">
        <v>143</v>
      </c>
      <c r="D61" s="581"/>
      <c r="E61" s="186" t="s">
        <v>139</v>
      </c>
      <c r="F61" s="187">
        <v>0</v>
      </c>
      <c r="G61" s="239" t="s">
        <v>85</v>
      </c>
      <c r="H61" s="243">
        <v>0</v>
      </c>
      <c r="I61" s="373">
        <f t="shared" si="8"/>
        <v>0</v>
      </c>
      <c r="J61" s="250" t="s">
        <v>139</v>
      </c>
      <c r="K61" s="508" t="s">
        <v>139</v>
      </c>
      <c r="L61" s="399" t="s">
        <v>139</v>
      </c>
      <c r="M61" s="403">
        <v>0</v>
      </c>
      <c r="N61" s="282" t="s">
        <v>139</v>
      </c>
      <c r="O61" s="302" t="str">
        <f>IF(OR(M61=0,N61="NA"),"NA",IFERROR(INDEX('Data - Reference'!$B$37:$B$50,MATCH('Unit Summary - Rent Roll'!$M61,INDEX('Data - Reference'!$B$37:$J$50,,MATCH('Unit Summary - Rent Roll'!$N61,'Data - Reference'!$B$37:$J$37,0)),-1),1),"NA"))</f>
        <v>NA</v>
      </c>
      <c r="P61" s="239" t="s">
        <v>85</v>
      </c>
      <c r="Q61" s="239" t="s">
        <v>85</v>
      </c>
      <c r="R61" s="188">
        <v>0</v>
      </c>
      <c r="S61" s="364">
        <f t="shared" si="9"/>
        <v>0</v>
      </c>
      <c r="T61" s="97">
        <f t="shared" si="10"/>
        <v>0</v>
      </c>
      <c r="U61" s="188">
        <v>0</v>
      </c>
      <c r="V61" s="364">
        <f t="shared" si="11"/>
        <v>0</v>
      </c>
      <c r="W61" s="97">
        <f t="shared" si="12"/>
        <v>0</v>
      </c>
      <c r="X61" s="71">
        <f>IFERROR(IF(INDEX(AC$14:AC$18,MATCH($E61,$AB$14:$AB$18,0))&lt;&gt;0,INDEX(AC$14:AC$18,MATCH($E61,$AB$14:$AB$18,0)),
IF($M61="Market",0,IF($L61="HUD FMR",INDEX('Data - Reference'!$B$31:$G$31,MATCH($E61,'Data - Reference'!$B$9:$G$9,0)),INDEX('Data - Reference'!$B$9:$G$31,MATCH($K61,'Data - Reference'!$B$9:$B$31,0),MATCH($E61,'Data - Reference'!$B$9:$G$9,0))))),0)</f>
        <v>0</v>
      </c>
      <c r="Y61" s="71">
        <f>IFERROR(IF(INDEX(AD$14:AD$18,MATCH($E61,$AB$14:$AB$18,0))&lt;&gt;0,INDEX(AD$14:AD$18,MATCH($E61,$AB$14:$AB$18,0)),
IF($K61="None - Market",0,-INDEX('Data - Reference'!$B$32:$G$32,MATCH($E61,'Data - Reference'!$B$9:$G$9,0)))),0)</f>
        <v>0</v>
      </c>
      <c r="Z61" s="74">
        <f t="shared" si="6"/>
        <v>0</v>
      </c>
      <c r="AA61" s="67">
        <f t="shared" si="13"/>
        <v>0</v>
      </c>
      <c r="AB61" s="97">
        <f t="shared" si="14"/>
        <v>0</v>
      </c>
      <c r="AC61" s="82">
        <f t="shared" si="5"/>
        <v>0</v>
      </c>
      <c r="AD61" s="83">
        <f t="shared" si="15"/>
        <v>0</v>
      </c>
      <c r="AE61" s="97">
        <f t="shared" si="16"/>
        <v>0</v>
      </c>
      <c r="AF61" s="415" t="str">
        <f t="shared" si="7"/>
        <v>NA</v>
      </c>
      <c r="AG61" s="420" t="str">
        <f t="shared" si="17"/>
        <v>NA</v>
      </c>
      <c r="AH61" s="420" t="str">
        <f t="shared" si="18"/>
        <v>NA</v>
      </c>
      <c r="AI61" s="417" t="str">
        <f t="shared" si="4"/>
        <v>NA</v>
      </c>
      <c r="AJ61" s="417" t="str">
        <f t="shared" si="19"/>
        <v>NA</v>
      </c>
      <c r="AK61" s="524" t="str">
        <f>IFERROR(INDEX('Legacy Resident Reference'!R:R,MATCH('Unit Summary - Rent Roll'!AJ61,'Legacy Resident Reference'!P:P,0)),"NA")</f>
        <v>NA</v>
      </c>
    </row>
    <row r="62" spans="2:37" ht="13.8" x14ac:dyDescent="0.3">
      <c r="B62" s="236">
        <v>36</v>
      </c>
      <c r="C62" s="580" t="s">
        <v>143</v>
      </c>
      <c r="D62" s="581"/>
      <c r="E62" s="186" t="s">
        <v>139</v>
      </c>
      <c r="F62" s="187">
        <v>0</v>
      </c>
      <c r="G62" s="239" t="s">
        <v>85</v>
      </c>
      <c r="H62" s="243">
        <v>0</v>
      </c>
      <c r="I62" s="373">
        <f t="shared" si="8"/>
        <v>0</v>
      </c>
      <c r="J62" s="250" t="s">
        <v>139</v>
      </c>
      <c r="K62" s="508" t="s">
        <v>139</v>
      </c>
      <c r="L62" s="399" t="s">
        <v>139</v>
      </c>
      <c r="M62" s="403">
        <v>0</v>
      </c>
      <c r="N62" s="282" t="s">
        <v>139</v>
      </c>
      <c r="O62" s="302" t="str">
        <f>IF(OR(M62=0,N62="NA"),"NA",IFERROR(INDEX('Data - Reference'!$B$37:$B$50,MATCH('Unit Summary - Rent Roll'!$M62,INDEX('Data - Reference'!$B$37:$J$50,,MATCH('Unit Summary - Rent Roll'!$N62,'Data - Reference'!$B$37:$J$37,0)),-1),1),"NA"))</f>
        <v>NA</v>
      </c>
      <c r="P62" s="239" t="s">
        <v>85</v>
      </c>
      <c r="Q62" s="239" t="s">
        <v>85</v>
      </c>
      <c r="R62" s="188">
        <v>0</v>
      </c>
      <c r="S62" s="364">
        <f t="shared" si="9"/>
        <v>0</v>
      </c>
      <c r="T62" s="97">
        <f t="shared" si="10"/>
        <v>0</v>
      </c>
      <c r="U62" s="188">
        <v>0</v>
      </c>
      <c r="V62" s="364">
        <f t="shared" si="11"/>
        <v>0</v>
      </c>
      <c r="W62" s="97">
        <f t="shared" si="12"/>
        <v>0</v>
      </c>
      <c r="X62" s="71">
        <f>IFERROR(IF(INDEX(AC$14:AC$18,MATCH($E62,$AB$14:$AB$18,0))&lt;&gt;0,INDEX(AC$14:AC$18,MATCH($E62,$AB$14:$AB$18,0)),
IF($M62="Market",0,IF($L62="HUD FMR",INDEX('Data - Reference'!$B$31:$G$31,MATCH($E62,'Data - Reference'!$B$9:$G$9,0)),INDEX('Data - Reference'!$B$9:$G$31,MATCH($K62,'Data - Reference'!$B$9:$B$31,0),MATCH($E62,'Data - Reference'!$B$9:$G$9,0))))),0)</f>
        <v>0</v>
      </c>
      <c r="Y62" s="71">
        <f>IFERROR(IF(INDEX(AD$14:AD$18,MATCH($E62,$AB$14:$AB$18,0))&lt;&gt;0,INDEX(AD$14:AD$18,MATCH($E62,$AB$14:$AB$18,0)),
IF($K62="None - Market",0,-INDEX('Data - Reference'!$B$32:$G$32,MATCH($E62,'Data - Reference'!$B$9:$G$9,0)))),0)</f>
        <v>0</v>
      </c>
      <c r="Z62" s="74">
        <f t="shared" si="6"/>
        <v>0</v>
      </c>
      <c r="AA62" s="67">
        <f t="shared" si="13"/>
        <v>0</v>
      </c>
      <c r="AB62" s="97">
        <f t="shared" si="14"/>
        <v>0</v>
      </c>
      <c r="AC62" s="82">
        <f t="shared" si="5"/>
        <v>0</v>
      </c>
      <c r="AD62" s="83">
        <f t="shared" si="15"/>
        <v>0</v>
      </c>
      <c r="AE62" s="97">
        <f t="shared" si="16"/>
        <v>0</v>
      </c>
      <c r="AF62" s="415" t="str">
        <f t="shared" si="7"/>
        <v>NA</v>
      </c>
      <c r="AG62" s="420" t="str">
        <f t="shared" si="17"/>
        <v>NA</v>
      </c>
      <c r="AH62" s="420" t="str">
        <f t="shared" si="18"/>
        <v>NA</v>
      </c>
      <c r="AI62" s="417" t="str">
        <f t="shared" si="4"/>
        <v>NA</v>
      </c>
      <c r="AJ62" s="417" t="str">
        <f t="shared" si="19"/>
        <v>NA</v>
      </c>
      <c r="AK62" s="524" t="str">
        <f>IFERROR(INDEX('Legacy Resident Reference'!R:R,MATCH('Unit Summary - Rent Roll'!AJ62,'Legacy Resident Reference'!P:P,0)),"NA")</f>
        <v>NA</v>
      </c>
    </row>
    <row r="63" spans="2:37" ht="13.8" x14ac:dyDescent="0.3">
      <c r="B63" s="236">
        <v>37</v>
      </c>
      <c r="C63" s="580" t="s">
        <v>143</v>
      </c>
      <c r="D63" s="581"/>
      <c r="E63" s="186" t="s">
        <v>139</v>
      </c>
      <c r="F63" s="187">
        <v>0</v>
      </c>
      <c r="G63" s="239" t="s">
        <v>85</v>
      </c>
      <c r="H63" s="243">
        <v>0</v>
      </c>
      <c r="I63" s="373">
        <f t="shared" si="8"/>
        <v>0</v>
      </c>
      <c r="J63" s="250" t="s">
        <v>139</v>
      </c>
      <c r="K63" s="508" t="s">
        <v>139</v>
      </c>
      <c r="L63" s="399" t="s">
        <v>139</v>
      </c>
      <c r="M63" s="403">
        <v>0</v>
      </c>
      <c r="N63" s="282" t="s">
        <v>139</v>
      </c>
      <c r="O63" s="302" t="str">
        <f>IF(OR(M63=0,N63="NA"),"NA",IFERROR(INDEX('Data - Reference'!$B$37:$B$50,MATCH('Unit Summary - Rent Roll'!$M63,INDEX('Data - Reference'!$B$37:$J$50,,MATCH('Unit Summary - Rent Roll'!$N63,'Data - Reference'!$B$37:$J$37,0)),-1),1),"NA"))</f>
        <v>NA</v>
      </c>
      <c r="P63" s="239" t="s">
        <v>85</v>
      </c>
      <c r="Q63" s="239" t="s">
        <v>85</v>
      </c>
      <c r="R63" s="188">
        <v>0</v>
      </c>
      <c r="S63" s="364">
        <f t="shared" si="9"/>
        <v>0</v>
      </c>
      <c r="T63" s="97">
        <f t="shared" si="10"/>
        <v>0</v>
      </c>
      <c r="U63" s="188">
        <v>0</v>
      </c>
      <c r="V63" s="364">
        <f t="shared" si="11"/>
        <v>0</v>
      </c>
      <c r="W63" s="97">
        <f t="shared" si="12"/>
        <v>0</v>
      </c>
      <c r="X63" s="71">
        <f>IFERROR(IF(INDEX(AC$14:AC$18,MATCH($E63,$AB$14:$AB$18,0))&lt;&gt;0,INDEX(AC$14:AC$18,MATCH($E63,$AB$14:$AB$18,0)),
IF($M63="Market",0,IF($L63="HUD FMR",INDEX('Data - Reference'!$B$31:$G$31,MATCH($E63,'Data - Reference'!$B$9:$G$9,0)),INDEX('Data - Reference'!$B$9:$G$31,MATCH($K63,'Data - Reference'!$B$9:$B$31,0),MATCH($E63,'Data - Reference'!$B$9:$G$9,0))))),0)</f>
        <v>0</v>
      </c>
      <c r="Y63" s="71">
        <f>IFERROR(IF(INDEX(AD$14:AD$18,MATCH($E63,$AB$14:$AB$18,0))&lt;&gt;0,INDEX(AD$14:AD$18,MATCH($E63,$AB$14:$AB$18,0)),
IF($K63="None - Market",0,-INDEX('Data - Reference'!$B$32:$G$32,MATCH($E63,'Data - Reference'!$B$9:$G$9,0)))),0)</f>
        <v>0</v>
      </c>
      <c r="Z63" s="74">
        <f t="shared" si="6"/>
        <v>0</v>
      </c>
      <c r="AA63" s="67">
        <f t="shared" si="13"/>
        <v>0</v>
      </c>
      <c r="AB63" s="97">
        <f t="shared" si="14"/>
        <v>0</v>
      </c>
      <c r="AC63" s="82">
        <f t="shared" si="5"/>
        <v>0</v>
      </c>
      <c r="AD63" s="83">
        <f t="shared" si="15"/>
        <v>0</v>
      </c>
      <c r="AE63" s="97">
        <f t="shared" si="16"/>
        <v>0</v>
      </c>
      <c r="AF63" s="415" t="str">
        <f t="shared" si="7"/>
        <v>NA</v>
      </c>
      <c r="AG63" s="420" t="str">
        <f t="shared" si="17"/>
        <v>NA</v>
      </c>
      <c r="AH63" s="420" t="str">
        <f t="shared" si="18"/>
        <v>NA</v>
      </c>
      <c r="AI63" s="417" t="str">
        <f t="shared" si="4"/>
        <v>NA</v>
      </c>
      <c r="AJ63" s="417" t="str">
        <f t="shared" si="19"/>
        <v>NA</v>
      </c>
      <c r="AK63" s="524" t="str">
        <f>IFERROR(INDEX('Legacy Resident Reference'!R:R,MATCH('Unit Summary - Rent Roll'!AJ63,'Legacy Resident Reference'!P:P,0)),"NA")</f>
        <v>NA</v>
      </c>
    </row>
    <row r="64" spans="2:37" ht="13.8" x14ac:dyDescent="0.3">
      <c r="B64" s="236">
        <v>38</v>
      </c>
      <c r="C64" s="580" t="s">
        <v>143</v>
      </c>
      <c r="D64" s="581"/>
      <c r="E64" s="186" t="s">
        <v>139</v>
      </c>
      <c r="F64" s="187">
        <v>0</v>
      </c>
      <c r="G64" s="239" t="s">
        <v>85</v>
      </c>
      <c r="H64" s="243">
        <v>0</v>
      </c>
      <c r="I64" s="373">
        <f t="shared" si="8"/>
        <v>0</v>
      </c>
      <c r="J64" s="250" t="s">
        <v>139</v>
      </c>
      <c r="K64" s="508" t="s">
        <v>139</v>
      </c>
      <c r="L64" s="399" t="s">
        <v>139</v>
      </c>
      <c r="M64" s="403">
        <v>0</v>
      </c>
      <c r="N64" s="282" t="s">
        <v>139</v>
      </c>
      <c r="O64" s="302" t="str">
        <f>IF(OR(M64=0,N64="NA"),"NA",IFERROR(INDEX('Data - Reference'!$B$37:$B$50,MATCH('Unit Summary - Rent Roll'!$M64,INDEX('Data - Reference'!$B$37:$J$50,,MATCH('Unit Summary - Rent Roll'!$N64,'Data - Reference'!$B$37:$J$37,0)),-1),1),"NA"))</f>
        <v>NA</v>
      </c>
      <c r="P64" s="239" t="s">
        <v>85</v>
      </c>
      <c r="Q64" s="239" t="s">
        <v>85</v>
      </c>
      <c r="R64" s="188">
        <v>0</v>
      </c>
      <c r="S64" s="364">
        <f t="shared" si="9"/>
        <v>0</v>
      </c>
      <c r="T64" s="97">
        <f t="shared" si="10"/>
        <v>0</v>
      </c>
      <c r="U64" s="188">
        <v>0</v>
      </c>
      <c r="V64" s="364">
        <f t="shared" si="11"/>
        <v>0</v>
      </c>
      <c r="W64" s="97">
        <f t="shared" si="12"/>
        <v>0</v>
      </c>
      <c r="X64" s="71">
        <f>IFERROR(IF(INDEX(AC$14:AC$18,MATCH($E64,$AB$14:$AB$18,0))&lt;&gt;0,INDEX(AC$14:AC$18,MATCH($E64,$AB$14:$AB$18,0)),
IF($M64="Market",0,IF($L64="HUD FMR",INDEX('Data - Reference'!$B$31:$G$31,MATCH($E64,'Data - Reference'!$B$9:$G$9,0)),INDEX('Data - Reference'!$B$9:$G$31,MATCH($K64,'Data - Reference'!$B$9:$B$31,0),MATCH($E64,'Data - Reference'!$B$9:$G$9,0))))),0)</f>
        <v>0</v>
      </c>
      <c r="Y64" s="71">
        <f>IFERROR(IF(INDEX(AD$14:AD$18,MATCH($E64,$AB$14:$AB$18,0))&lt;&gt;0,INDEX(AD$14:AD$18,MATCH($E64,$AB$14:$AB$18,0)),
IF($K64="None - Market",0,-INDEX('Data - Reference'!$B$32:$G$32,MATCH($E64,'Data - Reference'!$B$9:$G$9,0)))),0)</f>
        <v>0</v>
      </c>
      <c r="Z64" s="74">
        <f t="shared" si="6"/>
        <v>0</v>
      </c>
      <c r="AA64" s="67">
        <f t="shared" si="13"/>
        <v>0</v>
      </c>
      <c r="AB64" s="97">
        <f t="shared" si="14"/>
        <v>0</v>
      </c>
      <c r="AC64" s="82">
        <f t="shared" si="5"/>
        <v>0</v>
      </c>
      <c r="AD64" s="83">
        <f t="shared" si="15"/>
        <v>0</v>
      </c>
      <c r="AE64" s="97">
        <f t="shared" si="16"/>
        <v>0</v>
      </c>
      <c r="AF64" s="415" t="str">
        <f t="shared" si="7"/>
        <v>NA</v>
      </c>
      <c r="AG64" s="420" t="str">
        <f t="shared" si="17"/>
        <v>NA</v>
      </c>
      <c r="AH64" s="420" t="str">
        <f t="shared" si="18"/>
        <v>NA</v>
      </c>
      <c r="AI64" s="417" t="str">
        <f t="shared" si="4"/>
        <v>NA</v>
      </c>
      <c r="AJ64" s="417" t="str">
        <f t="shared" si="19"/>
        <v>NA</v>
      </c>
      <c r="AK64" s="524" t="str">
        <f>IFERROR(INDEX('Legacy Resident Reference'!R:R,MATCH('Unit Summary - Rent Roll'!AJ64,'Legacy Resident Reference'!P:P,0)),"NA")</f>
        <v>NA</v>
      </c>
    </row>
    <row r="65" spans="2:37" ht="13.8" x14ac:dyDescent="0.3">
      <c r="B65" s="236">
        <v>39</v>
      </c>
      <c r="C65" s="580" t="s">
        <v>143</v>
      </c>
      <c r="D65" s="581"/>
      <c r="E65" s="186" t="s">
        <v>139</v>
      </c>
      <c r="F65" s="187">
        <v>0</v>
      </c>
      <c r="G65" s="239" t="s">
        <v>85</v>
      </c>
      <c r="H65" s="243">
        <v>0</v>
      </c>
      <c r="I65" s="373">
        <f t="shared" si="8"/>
        <v>0</v>
      </c>
      <c r="J65" s="250" t="s">
        <v>139</v>
      </c>
      <c r="K65" s="508" t="s">
        <v>139</v>
      </c>
      <c r="L65" s="399" t="s">
        <v>139</v>
      </c>
      <c r="M65" s="403">
        <v>0</v>
      </c>
      <c r="N65" s="282" t="s">
        <v>139</v>
      </c>
      <c r="O65" s="302" t="str">
        <f>IF(OR(M65=0,N65="NA"),"NA",IFERROR(INDEX('Data - Reference'!$B$37:$B$50,MATCH('Unit Summary - Rent Roll'!$M65,INDEX('Data - Reference'!$B$37:$J$50,,MATCH('Unit Summary - Rent Roll'!$N65,'Data - Reference'!$B$37:$J$37,0)),-1),1),"NA"))</f>
        <v>NA</v>
      </c>
      <c r="P65" s="239" t="s">
        <v>85</v>
      </c>
      <c r="Q65" s="239" t="s">
        <v>85</v>
      </c>
      <c r="R65" s="188">
        <v>0</v>
      </c>
      <c r="S65" s="364">
        <f t="shared" si="9"/>
        <v>0</v>
      </c>
      <c r="T65" s="97">
        <f t="shared" si="10"/>
        <v>0</v>
      </c>
      <c r="U65" s="188">
        <v>0</v>
      </c>
      <c r="V65" s="364">
        <f t="shared" si="11"/>
        <v>0</v>
      </c>
      <c r="W65" s="97">
        <f t="shared" si="12"/>
        <v>0</v>
      </c>
      <c r="X65" s="71">
        <f>IFERROR(IF(INDEX(AC$14:AC$18,MATCH($E65,$AB$14:$AB$18,0))&lt;&gt;0,INDEX(AC$14:AC$18,MATCH($E65,$AB$14:$AB$18,0)),
IF($M65="Market",0,IF($L65="HUD FMR",INDEX('Data - Reference'!$B$31:$G$31,MATCH($E65,'Data - Reference'!$B$9:$G$9,0)),INDEX('Data - Reference'!$B$9:$G$31,MATCH($K65,'Data - Reference'!$B$9:$B$31,0),MATCH($E65,'Data - Reference'!$B$9:$G$9,0))))),0)</f>
        <v>0</v>
      </c>
      <c r="Y65" s="71">
        <f>IFERROR(IF(INDEX(AD$14:AD$18,MATCH($E65,$AB$14:$AB$18,0))&lt;&gt;0,INDEX(AD$14:AD$18,MATCH($E65,$AB$14:$AB$18,0)),
IF($K65="None - Market",0,-INDEX('Data - Reference'!$B$32:$G$32,MATCH($E65,'Data - Reference'!$B$9:$G$9,0)))),0)</f>
        <v>0</v>
      </c>
      <c r="Z65" s="74">
        <f t="shared" si="6"/>
        <v>0</v>
      </c>
      <c r="AA65" s="67">
        <f t="shared" si="13"/>
        <v>0</v>
      </c>
      <c r="AB65" s="97">
        <f t="shared" si="14"/>
        <v>0</v>
      </c>
      <c r="AC65" s="82">
        <f t="shared" si="5"/>
        <v>0</v>
      </c>
      <c r="AD65" s="83">
        <f t="shared" si="15"/>
        <v>0</v>
      </c>
      <c r="AE65" s="97">
        <f t="shared" si="16"/>
        <v>0</v>
      </c>
      <c r="AF65" s="415" t="str">
        <f t="shared" si="7"/>
        <v>NA</v>
      </c>
      <c r="AG65" s="420" t="str">
        <f t="shared" si="17"/>
        <v>NA</v>
      </c>
      <c r="AH65" s="420" t="str">
        <f t="shared" si="18"/>
        <v>NA</v>
      </c>
      <c r="AI65" s="417" t="str">
        <f t="shared" si="4"/>
        <v>NA</v>
      </c>
      <c r="AJ65" s="417" t="str">
        <f t="shared" si="19"/>
        <v>NA</v>
      </c>
      <c r="AK65" s="524" t="str">
        <f>IFERROR(INDEX('Legacy Resident Reference'!R:R,MATCH('Unit Summary - Rent Roll'!AJ65,'Legacy Resident Reference'!P:P,0)),"NA")</f>
        <v>NA</v>
      </c>
    </row>
    <row r="66" spans="2:37" ht="13.8" x14ac:dyDescent="0.3">
      <c r="B66" s="236">
        <v>40</v>
      </c>
      <c r="C66" s="580" t="s">
        <v>143</v>
      </c>
      <c r="D66" s="581"/>
      <c r="E66" s="186" t="s">
        <v>139</v>
      </c>
      <c r="F66" s="187">
        <v>0</v>
      </c>
      <c r="G66" s="239" t="s">
        <v>85</v>
      </c>
      <c r="H66" s="243">
        <v>0</v>
      </c>
      <c r="I66" s="373">
        <f t="shared" si="8"/>
        <v>0</v>
      </c>
      <c r="J66" s="250" t="s">
        <v>139</v>
      </c>
      <c r="K66" s="508" t="s">
        <v>139</v>
      </c>
      <c r="L66" s="399" t="s">
        <v>139</v>
      </c>
      <c r="M66" s="403">
        <v>0</v>
      </c>
      <c r="N66" s="282" t="s">
        <v>139</v>
      </c>
      <c r="O66" s="302" t="str">
        <f>IF(OR(M66=0,N66="NA"),"NA",IFERROR(INDEX('Data - Reference'!$B$37:$B$50,MATCH('Unit Summary - Rent Roll'!$M66,INDEX('Data - Reference'!$B$37:$J$50,,MATCH('Unit Summary - Rent Roll'!$N66,'Data - Reference'!$B$37:$J$37,0)),-1),1),"NA"))</f>
        <v>NA</v>
      </c>
      <c r="P66" s="239" t="s">
        <v>85</v>
      </c>
      <c r="Q66" s="239" t="s">
        <v>85</v>
      </c>
      <c r="R66" s="188">
        <v>0</v>
      </c>
      <c r="S66" s="364">
        <f t="shared" si="9"/>
        <v>0</v>
      </c>
      <c r="T66" s="97">
        <f t="shared" si="10"/>
        <v>0</v>
      </c>
      <c r="U66" s="188">
        <v>0</v>
      </c>
      <c r="V66" s="364">
        <f t="shared" si="11"/>
        <v>0</v>
      </c>
      <c r="W66" s="97">
        <f t="shared" si="12"/>
        <v>0</v>
      </c>
      <c r="X66" s="71">
        <f>IFERROR(IF(INDEX(AC$14:AC$18,MATCH($E66,$AB$14:$AB$18,0))&lt;&gt;0,INDEX(AC$14:AC$18,MATCH($E66,$AB$14:$AB$18,0)),
IF($M66="Market",0,IF($L66="HUD FMR",INDEX('Data - Reference'!$B$31:$G$31,MATCH($E66,'Data - Reference'!$B$9:$G$9,0)),INDEX('Data - Reference'!$B$9:$G$31,MATCH($K66,'Data - Reference'!$B$9:$B$31,0),MATCH($E66,'Data - Reference'!$B$9:$G$9,0))))),0)</f>
        <v>0</v>
      </c>
      <c r="Y66" s="71">
        <f>IFERROR(IF(INDEX(AD$14:AD$18,MATCH($E66,$AB$14:$AB$18,0))&lt;&gt;0,INDEX(AD$14:AD$18,MATCH($E66,$AB$14:$AB$18,0)),
IF($K66="None - Market",0,-INDEX('Data - Reference'!$B$32:$G$32,MATCH($E66,'Data - Reference'!$B$9:$G$9,0)))),0)</f>
        <v>0</v>
      </c>
      <c r="Z66" s="74">
        <f t="shared" si="6"/>
        <v>0</v>
      </c>
      <c r="AA66" s="67">
        <f t="shared" si="13"/>
        <v>0</v>
      </c>
      <c r="AB66" s="97">
        <f t="shared" si="14"/>
        <v>0</v>
      </c>
      <c r="AC66" s="82">
        <f t="shared" si="5"/>
        <v>0</v>
      </c>
      <c r="AD66" s="83">
        <f t="shared" si="15"/>
        <v>0</v>
      </c>
      <c r="AE66" s="97">
        <f t="shared" si="16"/>
        <v>0</v>
      </c>
      <c r="AF66" s="415" t="str">
        <f t="shared" si="7"/>
        <v>NA</v>
      </c>
      <c r="AG66" s="420" t="str">
        <f t="shared" si="17"/>
        <v>NA</v>
      </c>
      <c r="AH66" s="420" t="str">
        <f t="shared" si="18"/>
        <v>NA</v>
      </c>
      <c r="AI66" s="417" t="str">
        <f t="shared" si="4"/>
        <v>NA</v>
      </c>
      <c r="AJ66" s="417" t="str">
        <f t="shared" si="19"/>
        <v>NA</v>
      </c>
      <c r="AK66" s="524" t="str">
        <f>IFERROR(INDEX('Legacy Resident Reference'!R:R,MATCH('Unit Summary - Rent Roll'!AJ66,'Legacy Resident Reference'!P:P,0)),"NA")</f>
        <v>NA</v>
      </c>
    </row>
    <row r="67" spans="2:37" ht="13.8" x14ac:dyDescent="0.3">
      <c r="B67" s="236">
        <v>41</v>
      </c>
      <c r="C67" s="580" t="s">
        <v>143</v>
      </c>
      <c r="D67" s="581"/>
      <c r="E67" s="186" t="s">
        <v>139</v>
      </c>
      <c r="F67" s="187">
        <v>0</v>
      </c>
      <c r="G67" s="239" t="s">
        <v>85</v>
      </c>
      <c r="H67" s="243">
        <v>0</v>
      </c>
      <c r="I67" s="373">
        <f t="shared" si="8"/>
        <v>0</v>
      </c>
      <c r="J67" s="250" t="s">
        <v>139</v>
      </c>
      <c r="K67" s="508" t="s">
        <v>139</v>
      </c>
      <c r="L67" s="399" t="s">
        <v>139</v>
      </c>
      <c r="M67" s="403">
        <v>0</v>
      </c>
      <c r="N67" s="282" t="s">
        <v>139</v>
      </c>
      <c r="O67" s="302" t="str">
        <f>IF(OR(M67=0,N67="NA"),"NA",IFERROR(INDEX('Data - Reference'!$B$37:$B$50,MATCH('Unit Summary - Rent Roll'!$M67,INDEX('Data - Reference'!$B$37:$J$50,,MATCH('Unit Summary - Rent Roll'!$N67,'Data - Reference'!$B$37:$J$37,0)),-1),1),"NA"))</f>
        <v>NA</v>
      </c>
      <c r="P67" s="239" t="s">
        <v>85</v>
      </c>
      <c r="Q67" s="239" t="s">
        <v>85</v>
      </c>
      <c r="R67" s="188">
        <v>0</v>
      </c>
      <c r="S67" s="364">
        <f t="shared" si="9"/>
        <v>0</v>
      </c>
      <c r="T67" s="97">
        <f t="shared" si="10"/>
        <v>0</v>
      </c>
      <c r="U67" s="188">
        <v>0</v>
      </c>
      <c r="V67" s="364">
        <f t="shared" si="11"/>
        <v>0</v>
      </c>
      <c r="W67" s="97">
        <f t="shared" si="12"/>
        <v>0</v>
      </c>
      <c r="X67" s="71">
        <f>IFERROR(IF(INDEX(AC$14:AC$18,MATCH($E67,$AB$14:$AB$18,0))&lt;&gt;0,INDEX(AC$14:AC$18,MATCH($E67,$AB$14:$AB$18,0)),
IF($M67="Market",0,IF($L67="HUD FMR",INDEX('Data - Reference'!$B$31:$G$31,MATCH($E67,'Data - Reference'!$B$9:$G$9,0)),INDEX('Data - Reference'!$B$9:$G$31,MATCH($K67,'Data - Reference'!$B$9:$B$31,0),MATCH($E67,'Data - Reference'!$B$9:$G$9,0))))),0)</f>
        <v>0</v>
      </c>
      <c r="Y67" s="71">
        <f>IFERROR(IF(INDEX(AD$14:AD$18,MATCH($E67,$AB$14:$AB$18,0))&lt;&gt;0,INDEX(AD$14:AD$18,MATCH($E67,$AB$14:$AB$18,0)),
IF($K67="None - Market",0,-INDEX('Data - Reference'!$B$32:$G$32,MATCH($E67,'Data - Reference'!$B$9:$G$9,0)))),0)</f>
        <v>0</v>
      </c>
      <c r="Z67" s="74">
        <f t="shared" si="6"/>
        <v>0</v>
      </c>
      <c r="AA67" s="67">
        <f t="shared" si="13"/>
        <v>0</v>
      </c>
      <c r="AB67" s="97">
        <f t="shared" si="14"/>
        <v>0</v>
      </c>
      <c r="AC67" s="82">
        <f t="shared" si="5"/>
        <v>0</v>
      </c>
      <c r="AD67" s="83">
        <f t="shared" si="15"/>
        <v>0</v>
      </c>
      <c r="AE67" s="97">
        <f t="shared" si="16"/>
        <v>0</v>
      </c>
      <c r="AF67" s="415" t="str">
        <f t="shared" si="7"/>
        <v>NA</v>
      </c>
      <c r="AG67" s="420" t="str">
        <f t="shared" si="17"/>
        <v>NA</v>
      </c>
      <c r="AH67" s="420" t="str">
        <f t="shared" si="18"/>
        <v>NA</v>
      </c>
      <c r="AI67" s="417" t="str">
        <f t="shared" si="4"/>
        <v>NA</v>
      </c>
      <c r="AJ67" s="417" t="str">
        <f t="shared" si="19"/>
        <v>NA</v>
      </c>
      <c r="AK67" s="524" t="str">
        <f>IFERROR(INDEX('Legacy Resident Reference'!R:R,MATCH('Unit Summary - Rent Roll'!AJ67,'Legacy Resident Reference'!P:P,0)),"NA")</f>
        <v>NA</v>
      </c>
    </row>
    <row r="68" spans="2:37" ht="13.8" x14ac:dyDescent="0.3">
      <c r="B68" s="236">
        <v>42</v>
      </c>
      <c r="C68" s="580" t="s">
        <v>143</v>
      </c>
      <c r="D68" s="581"/>
      <c r="E68" s="186" t="s">
        <v>139</v>
      </c>
      <c r="F68" s="187">
        <v>0</v>
      </c>
      <c r="G68" s="239" t="s">
        <v>85</v>
      </c>
      <c r="H68" s="243">
        <v>0</v>
      </c>
      <c r="I68" s="373">
        <f t="shared" si="8"/>
        <v>0</v>
      </c>
      <c r="J68" s="250" t="s">
        <v>139</v>
      </c>
      <c r="K68" s="508" t="s">
        <v>139</v>
      </c>
      <c r="L68" s="399" t="s">
        <v>139</v>
      </c>
      <c r="M68" s="403">
        <v>0</v>
      </c>
      <c r="N68" s="282" t="s">
        <v>139</v>
      </c>
      <c r="O68" s="302" t="str">
        <f>IF(OR(M68=0,N68="NA"),"NA",IFERROR(INDEX('Data - Reference'!$B$37:$B$50,MATCH('Unit Summary - Rent Roll'!$M68,INDEX('Data - Reference'!$B$37:$J$50,,MATCH('Unit Summary - Rent Roll'!$N68,'Data - Reference'!$B$37:$J$37,0)),-1),1),"NA"))</f>
        <v>NA</v>
      </c>
      <c r="P68" s="239" t="s">
        <v>85</v>
      </c>
      <c r="Q68" s="239" t="s">
        <v>85</v>
      </c>
      <c r="R68" s="188">
        <v>0</v>
      </c>
      <c r="S68" s="364">
        <f t="shared" si="9"/>
        <v>0</v>
      </c>
      <c r="T68" s="97">
        <f t="shared" si="10"/>
        <v>0</v>
      </c>
      <c r="U68" s="188">
        <v>0</v>
      </c>
      <c r="V68" s="364">
        <f t="shared" si="11"/>
        <v>0</v>
      </c>
      <c r="W68" s="97">
        <f t="shared" si="12"/>
        <v>0</v>
      </c>
      <c r="X68" s="71">
        <f>IFERROR(IF(INDEX(AC$14:AC$18,MATCH($E68,$AB$14:$AB$18,0))&lt;&gt;0,INDEX(AC$14:AC$18,MATCH($E68,$AB$14:$AB$18,0)),
IF($M68="Market",0,IF($L68="HUD FMR",INDEX('Data - Reference'!$B$31:$G$31,MATCH($E68,'Data - Reference'!$B$9:$G$9,0)),INDEX('Data - Reference'!$B$9:$G$31,MATCH($K68,'Data - Reference'!$B$9:$B$31,0),MATCH($E68,'Data - Reference'!$B$9:$G$9,0))))),0)</f>
        <v>0</v>
      </c>
      <c r="Y68" s="71">
        <f>IFERROR(IF(INDEX(AD$14:AD$18,MATCH($E68,$AB$14:$AB$18,0))&lt;&gt;0,INDEX(AD$14:AD$18,MATCH($E68,$AB$14:$AB$18,0)),
IF($K68="None - Market",0,-INDEX('Data - Reference'!$B$32:$G$32,MATCH($E68,'Data - Reference'!$B$9:$G$9,0)))),0)</f>
        <v>0</v>
      </c>
      <c r="Z68" s="74">
        <f t="shared" si="6"/>
        <v>0</v>
      </c>
      <c r="AA68" s="67">
        <f t="shared" si="13"/>
        <v>0</v>
      </c>
      <c r="AB68" s="97">
        <f t="shared" si="14"/>
        <v>0</v>
      </c>
      <c r="AC68" s="82">
        <f t="shared" si="5"/>
        <v>0</v>
      </c>
      <c r="AD68" s="83">
        <f t="shared" si="15"/>
        <v>0</v>
      </c>
      <c r="AE68" s="97">
        <f t="shared" si="16"/>
        <v>0</v>
      </c>
      <c r="AF68" s="415" t="str">
        <f t="shared" si="7"/>
        <v>NA</v>
      </c>
      <c r="AG68" s="420" t="str">
        <f t="shared" si="17"/>
        <v>NA</v>
      </c>
      <c r="AH68" s="420" t="str">
        <f t="shared" si="18"/>
        <v>NA</v>
      </c>
      <c r="AI68" s="417" t="str">
        <f t="shared" si="4"/>
        <v>NA</v>
      </c>
      <c r="AJ68" s="417" t="str">
        <f t="shared" si="19"/>
        <v>NA</v>
      </c>
      <c r="AK68" s="524" t="str">
        <f>IFERROR(INDEX('Legacy Resident Reference'!R:R,MATCH('Unit Summary - Rent Roll'!AJ68,'Legacy Resident Reference'!P:P,0)),"NA")</f>
        <v>NA</v>
      </c>
    </row>
    <row r="69" spans="2:37" ht="13.8" x14ac:dyDescent="0.3">
      <c r="B69" s="236">
        <v>43</v>
      </c>
      <c r="C69" s="580" t="s">
        <v>143</v>
      </c>
      <c r="D69" s="581"/>
      <c r="E69" s="186" t="s">
        <v>139</v>
      </c>
      <c r="F69" s="187">
        <v>0</v>
      </c>
      <c r="G69" s="239" t="s">
        <v>85</v>
      </c>
      <c r="H69" s="243">
        <v>0</v>
      </c>
      <c r="I69" s="373">
        <f t="shared" si="8"/>
        <v>0</v>
      </c>
      <c r="J69" s="250" t="s">
        <v>139</v>
      </c>
      <c r="K69" s="508" t="s">
        <v>139</v>
      </c>
      <c r="L69" s="399" t="s">
        <v>139</v>
      </c>
      <c r="M69" s="403">
        <v>0</v>
      </c>
      <c r="N69" s="282" t="s">
        <v>139</v>
      </c>
      <c r="O69" s="302" t="str">
        <f>IF(OR(M69=0,N69="NA"),"NA",IFERROR(INDEX('Data - Reference'!$B$37:$B$50,MATCH('Unit Summary - Rent Roll'!$M69,INDEX('Data - Reference'!$B$37:$J$50,,MATCH('Unit Summary - Rent Roll'!$N69,'Data - Reference'!$B$37:$J$37,0)),-1),1),"NA"))</f>
        <v>NA</v>
      </c>
      <c r="P69" s="239" t="s">
        <v>85</v>
      </c>
      <c r="Q69" s="239" t="s">
        <v>85</v>
      </c>
      <c r="R69" s="188">
        <v>0</v>
      </c>
      <c r="S69" s="364">
        <f t="shared" si="9"/>
        <v>0</v>
      </c>
      <c r="T69" s="97">
        <f t="shared" si="10"/>
        <v>0</v>
      </c>
      <c r="U69" s="188">
        <v>0</v>
      </c>
      <c r="V69" s="364">
        <f t="shared" si="11"/>
        <v>0</v>
      </c>
      <c r="W69" s="97">
        <f t="shared" si="12"/>
        <v>0</v>
      </c>
      <c r="X69" s="71">
        <f>IFERROR(IF(INDEX(AC$14:AC$18,MATCH($E69,$AB$14:$AB$18,0))&lt;&gt;0,INDEX(AC$14:AC$18,MATCH($E69,$AB$14:$AB$18,0)),
IF($M69="Market",0,IF($L69="HUD FMR",INDEX('Data - Reference'!$B$31:$G$31,MATCH($E69,'Data - Reference'!$B$9:$G$9,0)),INDEX('Data - Reference'!$B$9:$G$31,MATCH($K69,'Data - Reference'!$B$9:$B$31,0),MATCH($E69,'Data - Reference'!$B$9:$G$9,0))))),0)</f>
        <v>0</v>
      </c>
      <c r="Y69" s="71">
        <f>IFERROR(IF(INDEX(AD$14:AD$18,MATCH($E69,$AB$14:$AB$18,0))&lt;&gt;0,INDEX(AD$14:AD$18,MATCH($E69,$AB$14:$AB$18,0)),
IF($K69="None - Market",0,-INDEX('Data - Reference'!$B$32:$G$32,MATCH($E69,'Data - Reference'!$B$9:$G$9,0)))),0)</f>
        <v>0</v>
      </c>
      <c r="Z69" s="74">
        <f t="shared" si="6"/>
        <v>0</v>
      </c>
      <c r="AA69" s="67">
        <f t="shared" si="13"/>
        <v>0</v>
      </c>
      <c r="AB69" s="97">
        <f t="shared" si="14"/>
        <v>0</v>
      </c>
      <c r="AC69" s="82">
        <f t="shared" si="5"/>
        <v>0</v>
      </c>
      <c r="AD69" s="83">
        <f t="shared" si="15"/>
        <v>0</v>
      </c>
      <c r="AE69" s="97">
        <f t="shared" si="16"/>
        <v>0</v>
      </c>
      <c r="AF69" s="415" t="str">
        <f t="shared" si="7"/>
        <v>NA</v>
      </c>
      <c r="AG69" s="420" t="str">
        <f t="shared" si="17"/>
        <v>NA</v>
      </c>
      <c r="AH69" s="420" t="str">
        <f t="shared" si="18"/>
        <v>NA</v>
      </c>
      <c r="AI69" s="417" t="str">
        <f t="shared" si="4"/>
        <v>NA</v>
      </c>
      <c r="AJ69" s="417" t="str">
        <f t="shared" si="19"/>
        <v>NA</v>
      </c>
      <c r="AK69" s="524" t="str">
        <f>IFERROR(INDEX('Legacy Resident Reference'!R:R,MATCH('Unit Summary - Rent Roll'!AJ69,'Legacy Resident Reference'!P:P,0)),"NA")</f>
        <v>NA</v>
      </c>
    </row>
    <row r="70" spans="2:37" ht="13.8" x14ac:dyDescent="0.3">
      <c r="B70" s="236">
        <v>44</v>
      </c>
      <c r="C70" s="580" t="s">
        <v>143</v>
      </c>
      <c r="D70" s="581"/>
      <c r="E70" s="186" t="s">
        <v>139</v>
      </c>
      <c r="F70" s="187">
        <v>0</v>
      </c>
      <c r="G70" s="239" t="s">
        <v>85</v>
      </c>
      <c r="H70" s="243">
        <v>0</v>
      </c>
      <c r="I70" s="373">
        <f t="shared" si="8"/>
        <v>0</v>
      </c>
      <c r="J70" s="250" t="s">
        <v>139</v>
      </c>
      <c r="K70" s="508" t="s">
        <v>139</v>
      </c>
      <c r="L70" s="399" t="s">
        <v>139</v>
      </c>
      <c r="M70" s="403">
        <v>0</v>
      </c>
      <c r="N70" s="282" t="s">
        <v>139</v>
      </c>
      <c r="O70" s="302" t="str">
        <f>IF(OR(M70=0,N70="NA"),"NA",IFERROR(INDEX('Data - Reference'!$B$37:$B$50,MATCH('Unit Summary - Rent Roll'!$M70,INDEX('Data - Reference'!$B$37:$J$50,,MATCH('Unit Summary - Rent Roll'!$N70,'Data - Reference'!$B$37:$J$37,0)),-1),1),"NA"))</f>
        <v>NA</v>
      </c>
      <c r="P70" s="239" t="s">
        <v>85</v>
      </c>
      <c r="Q70" s="239" t="s">
        <v>85</v>
      </c>
      <c r="R70" s="188">
        <v>0</v>
      </c>
      <c r="S70" s="364">
        <f t="shared" si="9"/>
        <v>0</v>
      </c>
      <c r="T70" s="97">
        <f t="shared" si="10"/>
        <v>0</v>
      </c>
      <c r="U70" s="188">
        <v>0</v>
      </c>
      <c r="V70" s="364">
        <f t="shared" si="11"/>
        <v>0</v>
      </c>
      <c r="W70" s="97">
        <f t="shared" si="12"/>
        <v>0</v>
      </c>
      <c r="X70" s="71">
        <f>IFERROR(IF(INDEX(AC$14:AC$18,MATCH($E70,$AB$14:$AB$18,0))&lt;&gt;0,INDEX(AC$14:AC$18,MATCH($E70,$AB$14:$AB$18,0)),
IF($M70="Market",0,IF($L70="HUD FMR",INDEX('Data - Reference'!$B$31:$G$31,MATCH($E70,'Data - Reference'!$B$9:$G$9,0)),INDEX('Data - Reference'!$B$9:$G$31,MATCH($K70,'Data - Reference'!$B$9:$B$31,0),MATCH($E70,'Data - Reference'!$B$9:$G$9,0))))),0)</f>
        <v>0</v>
      </c>
      <c r="Y70" s="71">
        <f>IFERROR(IF(INDEX(AD$14:AD$18,MATCH($E70,$AB$14:$AB$18,0))&lt;&gt;0,INDEX(AD$14:AD$18,MATCH($E70,$AB$14:$AB$18,0)),
IF($K70="None - Market",0,-INDEX('Data - Reference'!$B$32:$G$32,MATCH($E70,'Data - Reference'!$B$9:$G$9,0)))),0)</f>
        <v>0</v>
      </c>
      <c r="Z70" s="74">
        <f t="shared" si="6"/>
        <v>0</v>
      </c>
      <c r="AA70" s="67">
        <f t="shared" si="13"/>
        <v>0</v>
      </c>
      <c r="AB70" s="97">
        <f t="shared" si="14"/>
        <v>0</v>
      </c>
      <c r="AC70" s="82">
        <f t="shared" si="5"/>
        <v>0</v>
      </c>
      <c r="AD70" s="83">
        <f t="shared" si="15"/>
        <v>0</v>
      </c>
      <c r="AE70" s="97">
        <f t="shared" si="16"/>
        <v>0</v>
      </c>
      <c r="AF70" s="415" t="str">
        <f t="shared" si="7"/>
        <v>NA</v>
      </c>
      <c r="AG70" s="420" t="str">
        <f t="shared" si="17"/>
        <v>NA</v>
      </c>
      <c r="AH70" s="420" t="str">
        <f t="shared" si="18"/>
        <v>NA</v>
      </c>
      <c r="AI70" s="417" t="str">
        <f t="shared" si="4"/>
        <v>NA</v>
      </c>
      <c r="AJ70" s="417" t="str">
        <f t="shared" si="19"/>
        <v>NA</v>
      </c>
      <c r="AK70" s="524" t="str">
        <f>IFERROR(INDEX('Legacy Resident Reference'!R:R,MATCH('Unit Summary - Rent Roll'!AJ70,'Legacy Resident Reference'!P:P,0)),"NA")</f>
        <v>NA</v>
      </c>
    </row>
    <row r="71" spans="2:37" ht="13.8" x14ac:dyDescent="0.3">
      <c r="B71" s="236">
        <v>45</v>
      </c>
      <c r="C71" s="580" t="s">
        <v>143</v>
      </c>
      <c r="D71" s="581"/>
      <c r="E71" s="186" t="s">
        <v>139</v>
      </c>
      <c r="F71" s="187">
        <v>0</v>
      </c>
      <c r="G71" s="239" t="s">
        <v>85</v>
      </c>
      <c r="H71" s="243">
        <v>0</v>
      </c>
      <c r="I71" s="373">
        <f t="shared" si="8"/>
        <v>0</v>
      </c>
      <c r="J71" s="250" t="s">
        <v>139</v>
      </c>
      <c r="K71" s="508" t="s">
        <v>139</v>
      </c>
      <c r="L71" s="399" t="s">
        <v>139</v>
      </c>
      <c r="M71" s="403">
        <v>0</v>
      </c>
      <c r="N71" s="282" t="s">
        <v>139</v>
      </c>
      <c r="O71" s="302" t="str">
        <f>IF(OR(M71=0,N71="NA"),"NA",IFERROR(INDEX('Data - Reference'!$B$37:$B$50,MATCH('Unit Summary - Rent Roll'!$M71,INDEX('Data - Reference'!$B$37:$J$50,,MATCH('Unit Summary - Rent Roll'!$N71,'Data - Reference'!$B$37:$J$37,0)),-1),1),"NA"))</f>
        <v>NA</v>
      </c>
      <c r="P71" s="239" t="s">
        <v>85</v>
      </c>
      <c r="Q71" s="239" t="s">
        <v>85</v>
      </c>
      <c r="R71" s="188">
        <v>0</v>
      </c>
      <c r="S71" s="364">
        <f t="shared" si="9"/>
        <v>0</v>
      </c>
      <c r="T71" s="97">
        <f t="shared" si="10"/>
        <v>0</v>
      </c>
      <c r="U71" s="188">
        <v>0</v>
      </c>
      <c r="V71" s="364">
        <f t="shared" si="11"/>
        <v>0</v>
      </c>
      <c r="W71" s="97">
        <f t="shared" si="12"/>
        <v>0</v>
      </c>
      <c r="X71" s="71">
        <f>IFERROR(IF(INDEX(AC$14:AC$18,MATCH($E71,$AB$14:$AB$18,0))&lt;&gt;0,INDEX(AC$14:AC$18,MATCH($E71,$AB$14:$AB$18,0)),
IF($M71="Market",0,IF($L71="HUD FMR",INDEX('Data - Reference'!$B$31:$G$31,MATCH($E71,'Data - Reference'!$B$9:$G$9,0)),INDEX('Data - Reference'!$B$9:$G$31,MATCH($K71,'Data - Reference'!$B$9:$B$31,0),MATCH($E71,'Data - Reference'!$B$9:$G$9,0))))),0)</f>
        <v>0</v>
      </c>
      <c r="Y71" s="71">
        <f>IFERROR(IF(INDEX(AD$14:AD$18,MATCH($E71,$AB$14:$AB$18,0))&lt;&gt;0,INDEX(AD$14:AD$18,MATCH($E71,$AB$14:$AB$18,0)),
IF($K71="None - Market",0,-INDEX('Data - Reference'!$B$32:$G$32,MATCH($E71,'Data - Reference'!$B$9:$G$9,0)))),0)</f>
        <v>0</v>
      </c>
      <c r="Z71" s="74">
        <f t="shared" si="6"/>
        <v>0</v>
      </c>
      <c r="AA71" s="67">
        <f t="shared" si="13"/>
        <v>0</v>
      </c>
      <c r="AB71" s="97">
        <f t="shared" si="14"/>
        <v>0</v>
      </c>
      <c r="AC71" s="82">
        <f t="shared" si="5"/>
        <v>0</v>
      </c>
      <c r="AD71" s="83">
        <f t="shared" si="15"/>
        <v>0</v>
      </c>
      <c r="AE71" s="97">
        <f t="shared" si="16"/>
        <v>0</v>
      </c>
      <c r="AF71" s="415" t="str">
        <f t="shared" si="7"/>
        <v>NA</v>
      </c>
      <c r="AG71" s="420" t="str">
        <f t="shared" si="17"/>
        <v>NA</v>
      </c>
      <c r="AH71" s="420" t="str">
        <f t="shared" si="18"/>
        <v>NA</v>
      </c>
      <c r="AI71" s="417" t="str">
        <f t="shared" si="4"/>
        <v>NA</v>
      </c>
      <c r="AJ71" s="417" t="str">
        <f t="shared" si="19"/>
        <v>NA</v>
      </c>
      <c r="AK71" s="524" t="str">
        <f>IFERROR(INDEX('Legacy Resident Reference'!R:R,MATCH('Unit Summary - Rent Roll'!AJ71,'Legacy Resident Reference'!P:P,0)),"NA")</f>
        <v>NA</v>
      </c>
    </row>
    <row r="72" spans="2:37" ht="13.8" x14ac:dyDescent="0.3">
      <c r="B72" s="236">
        <v>46</v>
      </c>
      <c r="C72" s="580" t="s">
        <v>143</v>
      </c>
      <c r="D72" s="581"/>
      <c r="E72" s="186" t="s">
        <v>139</v>
      </c>
      <c r="F72" s="187">
        <v>0</v>
      </c>
      <c r="G72" s="239" t="s">
        <v>85</v>
      </c>
      <c r="H72" s="243">
        <v>0</v>
      </c>
      <c r="I72" s="373">
        <f t="shared" si="8"/>
        <v>0</v>
      </c>
      <c r="J72" s="250" t="s">
        <v>139</v>
      </c>
      <c r="K72" s="508" t="s">
        <v>139</v>
      </c>
      <c r="L72" s="399" t="s">
        <v>139</v>
      </c>
      <c r="M72" s="403">
        <v>0</v>
      </c>
      <c r="N72" s="282" t="s">
        <v>139</v>
      </c>
      <c r="O72" s="302" t="str">
        <f>IF(OR(M72=0,N72="NA"),"NA",IFERROR(INDEX('Data - Reference'!$B$37:$B$50,MATCH('Unit Summary - Rent Roll'!$M72,INDEX('Data - Reference'!$B$37:$J$50,,MATCH('Unit Summary - Rent Roll'!$N72,'Data - Reference'!$B$37:$J$37,0)),-1),1),"NA"))</f>
        <v>NA</v>
      </c>
      <c r="P72" s="239" t="s">
        <v>85</v>
      </c>
      <c r="Q72" s="239" t="s">
        <v>85</v>
      </c>
      <c r="R72" s="188">
        <v>0</v>
      </c>
      <c r="S72" s="364">
        <f t="shared" si="9"/>
        <v>0</v>
      </c>
      <c r="T72" s="97">
        <f t="shared" si="10"/>
        <v>0</v>
      </c>
      <c r="U72" s="188">
        <v>0</v>
      </c>
      <c r="V72" s="364">
        <f t="shared" si="11"/>
        <v>0</v>
      </c>
      <c r="W72" s="97">
        <f t="shared" si="12"/>
        <v>0</v>
      </c>
      <c r="X72" s="71">
        <f>IFERROR(IF(INDEX(AC$14:AC$18,MATCH($E72,$AB$14:$AB$18,0))&lt;&gt;0,INDEX(AC$14:AC$18,MATCH($E72,$AB$14:$AB$18,0)),
IF($M72="Market",0,IF($L72="HUD FMR",INDEX('Data - Reference'!$B$31:$G$31,MATCH($E72,'Data - Reference'!$B$9:$G$9,0)),INDEX('Data - Reference'!$B$9:$G$31,MATCH($K72,'Data - Reference'!$B$9:$B$31,0),MATCH($E72,'Data - Reference'!$B$9:$G$9,0))))),0)</f>
        <v>0</v>
      </c>
      <c r="Y72" s="71">
        <f>IFERROR(IF(INDEX(AD$14:AD$18,MATCH($E72,$AB$14:$AB$18,0))&lt;&gt;0,INDEX(AD$14:AD$18,MATCH($E72,$AB$14:$AB$18,0)),
IF($K72="None - Market",0,-INDEX('Data - Reference'!$B$32:$G$32,MATCH($E72,'Data - Reference'!$B$9:$G$9,0)))),0)</f>
        <v>0</v>
      </c>
      <c r="Z72" s="74">
        <f t="shared" si="6"/>
        <v>0</v>
      </c>
      <c r="AA72" s="67">
        <f t="shared" si="13"/>
        <v>0</v>
      </c>
      <c r="AB72" s="97">
        <f t="shared" si="14"/>
        <v>0</v>
      </c>
      <c r="AC72" s="82">
        <f t="shared" si="5"/>
        <v>0</v>
      </c>
      <c r="AD72" s="83">
        <f t="shared" si="15"/>
        <v>0</v>
      </c>
      <c r="AE72" s="97">
        <f t="shared" si="16"/>
        <v>0</v>
      </c>
      <c r="AF72" s="415" t="str">
        <f t="shared" si="7"/>
        <v>NA</v>
      </c>
      <c r="AG72" s="420" t="str">
        <f t="shared" si="17"/>
        <v>NA</v>
      </c>
      <c r="AH72" s="420" t="str">
        <f t="shared" si="18"/>
        <v>NA</v>
      </c>
      <c r="AI72" s="417" t="str">
        <f t="shared" si="4"/>
        <v>NA</v>
      </c>
      <c r="AJ72" s="417" t="str">
        <f t="shared" si="19"/>
        <v>NA</v>
      </c>
      <c r="AK72" s="524" t="str">
        <f>IFERROR(INDEX('Legacy Resident Reference'!R:R,MATCH('Unit Summary - Rent Roll'!AJ72,'Legacy Resident Reference'!P:P,0)),"NA")</f>
        <v>NA</v>
      </c>
    </row>
    <row r="73" spans="2:37" ht="13.8" x14ac:dyDescent="0.3">
      <c r="B73" s="236">
        <v>47</v>
      </c>
      <c r="C73" s="580" t="s">
        <v>143</v>
      </c>
      <c r="D73" s="581"/>
      <c r="E73" s="186" t="s">
        <v>139</v>
      </c>
      <c r="F73" s="187">
        <v>0</v>
      </c>
      <c r="G73" s="239" t="s">
        <v>85</v>
      </c>
      <c r="H73" s="243">
        <v>0</v>
      </c>
      <c r="I73" s="373">
        <f t="shared" si="8"/>
        <v>0</v>
      </c>
      <c r="J73" s="250" t="s">
        <v>139</v>
      </c>
      <c r="K73" s="508" t="s">
        <v>139</v>
      </c>
      <c r="L73" s="399" t="s">
        <v>139</v>
      </c>
      <c r="M73" s="403">
        <v>0</v>
      </c>
      <c r="N73" s="282" t="s">
        <v>139</v>
      </c>
      <c r="O73" s="302" t="str">
        <f>IF(OR(M73=0,N73="NA"),"NA",IFERROR(INDEX('Data - Reference'!$B$37:$B$50,MATCH('Unit Summary - Rent Roll'!$M73,INDEX('Data - Reference'!$B$37:$J$50,,MATCH('Unit Summary - Rent Roll'!$N73,'Data - Reference'!$B$37:$J$37,0)),-1),1),"NA"))</f>
        <v>NA</v>
      </c>
      <c r="P73" s="239" t="s">
        <v>85</v>
      </c>
      <c r="Q73" s="239" t="s">
        <v>85</v>
      </c>
      <c r="R73" s="188">
        <v>0</v>
      </c>
      <c r="S73" s="364">
        <f t="shared" si="9"/>
        <v>0</v>
      </c>
      <c r="T73" s="97">
        <f t="shared" si="10"/>
        <v>0</v>
      </c>
      <c r="U73" s="188">
        <v>0</v>
      </c>
      <c r="V73" s="364">
        <f t="shared" si="11"/>
        <v>0</v>
      </c>
      <c r="W73" s="97">
        <f t="shared" si="12"/>
        <v>0</v>
      </c>
      <c r="X73" s="71">
        <f>IFERROR(IF(INDEX(AC$14:AC$18,MATCH($E73,$AB$14:$AB$18,0))&lt;&gt;0,INDEX(AC$14:AC$18,MATCH($E73,$AB$14:$AB$18,0)),
IF($M73="Market",0,IF($L73="HUD FMR",INDEX('Data - Reference'!$B$31:$G$31,MATCH($E73,'Data - Reference'!$B$9:$G$9,0)),INDEX('Data - Reference'!$B$9:$G$31,MATCH($K73,'Data - Reference'!$B$9:$B$31,0),MATCH($E73,'Data - Reference'!$B$9:$G$9,0))))),0)</f>
        <v>0</v>
      </c>
      <c r="Y73" s="71">
        <f>IFERROR(IF(INDEX(AD$14:AD$18,MATCH($E73,$AB$14:$AB$18,0))&lt;&gt;0,INDEX(AD$14:AD$18,MATCH($E73,$AB$14:$AB$18,0)),
IF($K73="None - Market",0,-INDEX('Data - Reference'!$B$32:$G$32,MATCH($E73,'Data - Reference'!$B$9:$G$9,0)))),0)</f>
        <v>0</v>
      </c>
      <c r="Z73" s="74">
        <f t="shared" si="6"/>
        <v>0</v>
      </c>
      <c r="AA73" s="67">
        <f t="shared" si="13"/>
        <v>0</v>
      </c>
      <c r="AB73" s="97">
        <f t="shared" si="14"/>
        <v>0</v>
      </c>
      <c r="AC73" s="82">
        <f t="shared" si="5"/>
        <v>0</v>
      </c>
      <c r="AD73" s="83">
        <f t="shared" si="15"/>
        <v>0</v>
      </c>
      <c r="AE73" s="97">
        <f t="shared" si="16"/>
        <v>0</v>
      </c>
      <c r="AF73" s="415" t="str">
        <f t="shared" si="7"/>
        <v>NA</v>
      </c>
      <c r="AG73" s="420" t="str">
        <f t="shared" si="17"/>
        <v>NA</v>
      </c>
      <c r="AH73" s="420" t="str">
        <f t="shared" si="18"/>
        <v>NA</v>
      </c>
      <c r="AI73" s="417" t="str">
        <f t="shared" si="4"/>
        <v>NA</v>
      </c>
      <c r="AJ73" s="417" t="str">
        <f t="shared" si="19"/>
        <v>NA</v>
      </c>
      <c r="AK73" s="524" t="str">
        <f>IFERROR(INDEX('Legacy Resident Reference'!R:R,MATCH('Unit Summary - Rent Roll'!AJ73,'Legacy Resident Reference'!P:P,0)),"NA")</f>
        <v>NA</v>
      </c>
    </row>
    <row r="74" spans="2:37" ht="13.8" x14ac:dyDescent="0.3">
      <c r="B74" s="236">
        <v>48</v>
      </c>
      <c r="C74" s="580" t="s">
        <v>143</v>
      </c>
      <c r="D74" s="581"/>
      <c r="E74" s="186" t="s">
        <v>139</v>
      </c>
      <c r="F74" s="187">
        <v>0</v>
      </c>
      <c r="G74" s="239" t="s">
        <v>85</v>
      </c>
      <c r="H74" s="243">
        <v>0</v>
      </c>
      <c r="I74" s="373">
        <f t="shared" si="8"/>
        <v>0</v>
      </c>
      <c r="J74" s="250" t="s">
        <v>139</v>
      </c>
      <c r="K74" s="508" t="s">
        <v>139</v>
      </c>
      <c r="L74" s="399" t="s">
        <v>139</v>
      </c>
      <c r="M74" s="403">
        <v>0</v>
      </c>
      <c r="N74" s="282" t="s">
        <v>139</v>
      </c>
      <c r="O74" s="302" t="str">
        <f>IF(OR(M74=0,N74="NA"),"NA",IFERROR(INDEX('Data - Reference'!$B$37:$B$50,MATCH('Unit Summary - Rent Roll'!$M74,INDEX('Data - Reference'!$B$37:$J$50,,MATCH('Unit Summary - Rent Roll'!$N74,'Data - Reference'!$B$37:$J$37,0)),-1),1),"NA"))</f>
        <v>NA</v>
      </c>
      <c r="P74" s="239" t="s">
        <v>85</v>
      </c>
      <c r="Q74" s="239" t="s">
        <v>85</v>
      </c>
      <c r="R74" s="188">
        <v>0</v>
      </c>
      <c r="S74" s="364">
        <f t="shared" si="9"/>
        <v>0</v>
      </c>
      <c r="T74" s="97">
        <f t="shared" si="10"/>
        <v>0</v>
      </c>
      <c r="U74" s="188">
        <v>0</v>
      </c>
      <c r="V74" s="364">
        <f t="shared" si="11"/>
        <v>0</v>
      </c>
      <c r="W74" s="97">
        <f t="shared" si="12"/>
        <v>0</v>
      </c>
      <c r="X74" s="71">
        <f>IFERROR(IF(INDEX(AC$14:AC$18,MATCH($E74,$AB$14:$AB$18,0))&lt;&gt;0,INDEX(AC$14:AC$18,MATCH($E74,$AB$14:$AB$18,0)),
IF($M74="Market",0,IF($L74="HUD FMR",INDEX('Data - Reference'!$B$31:$G$31,MATCH($E74,'Data - Reference'!$B$9:$G$9,0)),INDEX('Data - Reference'!$B$9:$G$31,MATCH($K74,'Data - Reference'!$B$9:$B$31,0),MATCH($E74,'Data - Reference'!$B$9:$G$9,0))))),0)</f>
        <v>0</v>
      </c>
      <c r="Y74" s="71">
        <f>IFERROR(IF(INDEX(AD$14:AD$18,MATCH($E74,$AB$14:$AB$18,0))&lt;&gt;0,INDEX(AD$14:AD$18,MATCH($E74,$AB$14:$AB$18,0)),
IF($K74="None - Market",0,-INDEX('Data - Reference'!$B$32:$G$32,MATCH($E74,'Data - Reference'!$B$9:$G$9,0)))),0)</f>
        <v>0</v>
      </c>
      <c r="Z74" s="74">
        <f t="shared" si="6"/>
        <v>0</v>
      </c>
      <c r="AA74" s="67">
        <f t="shared" si="13"/>
        <v>0</v>
      </c>
      <c r="AB74" s="97">
        <f t="shared" si="14"/>
        <v>0</v>
      </c>
      <c r="AC74" s="82">
        <f t="shared" si="5"/>
        <v>0</v>
      </c>
      <c r="AD74" s="83">
        <f t="shared" si="15"/>
        <v>0</v>
      </c>
      <c r="AE74" s="97">
        <f t="shared" si="16"/>
        <v>0</v>
      </c>
      <c r="AF74" s="415" t="str">
        <f t="shared" si="7"/>
        <v>NA</v>
      </c>
      <c r="AG74" s="420" t="str">
        <f t="shared" si="17"/>
        <v>NA</v>
      </c>
      <c r="AH74" s="420" t="str">
        <f t="shared" si="18"/>
        <v>NA</v>
      </c>
      <c r="AI74" s="417" t="str">
        <f t="shared" si="4"/>
        <v>NA</v>
      </c>
      <c r="AJ74" s="417" t="str">
        <f t="shared" si="19"/>
        <v>NA</v>
      </c>
      <c r="AK74" s="524" t="str">
        <f>IFERROR(INDEX('Legacy Resident Reference'!R:R,MATCH('Unit Summary - Rent Roll'!AJ74,'Legacy Resident Reference'!P:P,0)),"NA")</f>
        <v>NA</v>
      </c>
    </row>
    <row r="75" spans="2:37" ht="13.8" x14ac:dyDescent="0.3">
      <c r="B75" s="236">
        <v>49</v>
      </c>
      <c r="C75" s="580" t="s">
        <v>143</v>
      </c>
      <c r="D75" s="581"/>
      <c r="E75" s="186" t="s">
        <v>139</v>
      </c>
      <c r="F75" s="187">
        <v>0</v>
      </c>
      <c r="G75" s="239" t="s">
        <v>85</v>
      </c>
      <c r="H75" s="243">
        <v>0</v>
      </c>
      <c r="I75" s="373">
        <f t="shared" si="8"/>
        <v>0</v>
      </c>
      <c r="J75" s="250" t="s">
        <v>139</v>
      </c>
      <c r="K75" s="508" t="s">
        <v>139</v>
      </c>
      <c r="L75" s="399" t="s">
        <v>139</v>
      </c>
      <c r="M75" s="403">
        <v>0</v>
      </c>
      <c r="N75" s="282" t="s">
        <v>139</v>
      </c>
      <c r="O75" s="302" t="str">
        <f>IF(OR(M75=0,N75="NA"),"NA",IFERROR(INDEX('Data - Reference'!$B$37:$B$50,MATCH('Unit Summary - Rent Roll'!$M75,INDEX('Data - Reference'!$B$37:$J$50,,MATCH('Unit Summary - Rent Roll'!$N75,'Data - Reference'!$B$37:$J$37,0)),-1),1),"NA"))</f>
        <v>NA</v>
      </c>
      <c r="P75" s="239" t="s">
        <v>85</v>
      </c>
      <c r="Q75" s="239" t="s">
        <v>85</v>
      </c>
      <c r="R75" s="188">
        <v>0</v>
      </c>
      <c r="S75" s="364">
        <f t="shared" si="9"/>
        <v>0</v>
      </c>
      <c r="T75" s="97">
        <f t="shared" si="10"/>
        <v>0</v>
      </c>
      <c r="U75" s="188">
        <v>0</v>
      </c>
      <c r="V75" s="364">
        <f t="shared" si="11"/>
        <v>0</v>
      </c>
      <c r="W75" s="97">
        <f t="shared" si="12"/>
        <v>0</v>
      </c>
      <c r="X75" s="71">
        <f>IFERROR(IF(INDEX(AC$14:AC$18,MATCH($E75,$AB$14:$AB$18,0))&lt;&gt;0,INDEX(AC$14:AC$18,MATCH($E75,$AB$14:$AB$18,0)),
IF($M75="Market",0,IF($L75="HUD FMR",INDEX('Data - Reference'!$B$31:$G$31,MATCH($E75,'Data - Reference'!$B$9:$G$9,0)),INDEX('Data - Reference'!$B$9:$G$31,MATCH($K75,'Data - Reference'!$B$9:$B$31,0),MATCH($E75,'Data - Reference'!$B$9:$G$9,0))))),0)</f>
        <v>0</v>
      </c>
      <c r="Y75" s="71">
        <f>IFERROR(IF(INDEX(AD$14:AD$18,MATCH($E75,$AB$14:$AB$18,0))&lt;&gt;0,INDEX(AD$14:AD$18,MATCH($E75,$AB$14:$AB$18,0)),
IF($K75="None - Market",0,-INDEX('Data - Reference'!$B$32:$G$32,MATCH($E75,'Data - Reference'!$B$9:$G$9,0)))),0)</f>
        <v>0</v>
      </c>
      <c r="Z75" s="74">
        <f t="shared" si="6"/>
        <v>0</v>
      </c>
      <c r="AA75" s="67">
        <f t="shared" si="13"/>
        <v>0</v>
      </c>
      <c r="AB75" s="97">
        <f t="shared" si="14"/>
        <v>0</v>
      </c>
      <c r="AC75" s="82">
        <f t="shared" si="5"/>
        <v>0</v>
      </c>
      <c r="AD75" s="83">
        <f t="shared" si="15"/>
        <v>0</v>
      </c>
      <c r="AE75" s="97">
        <f t="shared" si="16"/>
        <v>0</v>
      </c>
      <c r="AF75" s="415" t="str">
        <f t="shared" si="7"/>
        <v>NA</v>
      </c>
      <c r="AG75" s="420" t="str">
        <f t="shared" si="17"/>
        <v>NA</v>
      </c>
      <c r="AH75" s="420" t="str">
        <f t="shared" si="18"/>
        <v>NA</v>
      </c>
      <c r="AI75" s="417" t="str">
        <f t="shared" si="4"/>
        <v>NA</v>
      </c>
      <c r="AJ75" s="417" t="str">
        <f t="shared" si="19"/>
        <v>NA</v>
      </c>
      <c r="AK75" s="524" t="str">
        <f>IFERROR(INDEX('Legacy Resident Reference'!R:R,MATCH('Unit Summary - Rent Roll'!AJ75,'Legacy Resident Reference'!P:P,0)),"NA")</f>
        <v>NA</v>
      </c>
    </row>
    <row r="76" spans="2:37" ht="13.8" x14ac:dyDescent="0.3">
      <c r="B76" s="236">
        <v>50</v>
      </c>
      <c r="C76" s="580" t="s">
        <v>143</v>
      </c>
      <c r="D76" s="581"/>
      <c r="E76" s="186" t="s">
        <v>139</v>
      </c>
      <c r="F76" s="187">
        <v>0</v>
      </c>
      <c r="G76" s="239" t="s">
        <v>85</v>
      </c>
      <c r="H76" s="243">
        <v>0</v>
      </c>
      <c r="I76" s="373">
        <f t="shared" si="8"/>
        <v>0</v>
      </c>
      <c r="J76" s="250" t="s">
        <v>139</v>
      </c>
      <c r="K76" s="508" t="s">
        <v>139</v>
      </c>
      <c r="L76" s="399" t="s">
        <v>139</v>
      </c>
      <c r="M76" s="403">
        <v>0</v>
      </c>
      <c r="N76" s="282" t="s">
        <v>139</v>
      </c>
      <c r="O76" s="302" t="str">
        <f>IF(OR(M76=0,N76="NA"),"NA",IFERROR(INDEX('Data - Reference'!$B$37:$B$50,MATCH('Unit Summary - Rent Roll'!$M76,INDEX('Data - Reference'!$B$37:$J$50,,MATCH('Unit Summary - Rent Roll'!$N76,'Data - Reference'!$B$37:$J$37,0)),-1),1),"NA"))</f>
        <v>NA</v>
      </c>
      <c r="P76" s="239" t="s">
        <v>85</v>
      </c>
      <c r="Q76" s="239" t="s">
        <v>85</v>
      </c>
      <c r="R76" s="188">
        <v>0</v>
      </c>
      <c r="S76" s="364">
        <f t="shared" si="9"/>
        <v>0</v>
      </c>
      <c r="T76" s="97">
        <f t="shared" si="10"/>
        <v>0</v>
      </c>
      <c r="U76" s="188">
        <v>0</v>
      </c>
      <c r="V76" s="364">
        <f t="shared" si="11"/>
        <v>0</v>
      </c>
      <c r="W76" s="97">
        <f t="shared" si="12"/>
        <v>0</v>
      </c>
      <c r="X76" s="71">
        <f>IFERROR(IF(INDEX(AC$14:AC$18,MATCH($E76,$AB$14:$AB$18,0))&lt;&gt;0,INDEX(AC$14:AC$18,MATCH($E76,$AB$14:$AB$18,0)),
IF($M76="Market",0,IF($L76="HUD FMR",INDEX('Data - Reference'!$B$31:$G$31,MATCH($E76,'Data - Reference'!$B$9:$G$9,0)),INDEX('Data - Reference'!$B$9:$G$31,MATCH($K76,'Data - Reference'!$B$9:$B$31,0),MATCH($E76,'Data - Reference'!$B$9:$G$9,0))))),0)</f>
        <v>0</v>
      </c>
      <c r="Y76" s="71">
        <f>IFERROR(IF(INDEX(AD$14:AD$18,MATCH($E76,$AB$14:$AB$18,0))&lt;&gt;0,INDEX(AD$14:AD$18,MATCH($E76,$AB$14:$AB$18,0)),
IF($K76="None - Market",0,-INDEX('Data - Reference'!$B$32:$G$32,MATCH($E76,'Data - Reference'!$B$9:$G$9,0)))),0)</f>
        <v>0</v>
      </c>
      <c r="Z76" s="74">
        <f t="shared" si="6"/>
        <v>0</v>
      </c>
      <c r="AA76" s="67">
        <f t="shared" si="13"/>
        <v>0</v>
      </c>
      <c r="AB76" s="97">
        <f t="shared" si="14"/>
        <v>0</v>
      </c>
      <c r="AC76" s="82">
        <f t="shared" si="5"/>
        <v>0</v>
      </c>
      <c r="AD76" s="83">
        <f t="shared" si="15"/>
        <v>0</v>
      </c>
      <c r="AE76" s="97">
        <f t="shared" si="16"/>
        <v>0</v>
      </c>
      <c r="AF76" s="415" t="str">
        <f t="shared" si="7"/>
        <v>NA</v>
      </c>
      <c r="AG76" s="420" t="str">
        <f t="shared" si="17"/>
        <v>NA</v>
      </c>
      <c r="AH76" s="420" t="str">
        <f t="shared" si="18"/>
        <v>NA</v>
      </c>
      <c r="AI76" s="417" t="str">
        <f t="shared" si="4"/>
        <v>NA</v>
      </c>
      <c r="AJ76" s="417" t="str">
        <f t="shared" si="19"/>
        <v>NA</v>
      </c>
      <c r="AK76" s="524" t="str">
        <f>IFERROR(INDEX('Legacy Resident Reference'!R:R,MATCH('Unit Summary - Rent Roll'!AJ76,'Legacy Resident Reference'!P:P,0)),"NA")</f>
        <v>NA</v>
      </c>
    </row>
    <row r="77" spans="2:37" ht="13.8" x14ac:dyDescent="0.3">
      <c r="B77" s="236">
        <v>51</v>
      </c>
      <c r="C77" s="580" t="s">
        <v>143</v>
      </c>
      <c r="D77" s="581"/>
      <c r="E77" s="186" t="s">
        <v>139</v>
      </c>
      <c r="F77" s="187">
        <v>0</v>
      </c>
      <c r="G77" s="239" t="s">
        <v>85</v>
      </c>
      <c r="H77" s="243">
        <v>0</v>
      </c>
      <c r="I77" s="373">
        <f t="shared" si="8"/>
        <v>0</v>
      </c>
      <c r="J77" s="250" t="s">
        <v>139</v>
      </c>
      <c r="K77" s="508" t="s">
        <v>139</v>
      </c>
      <c r="L77" s="399" t="s">
        <v>139</v>
      </c>
      <c r="M77" s="403">
        <v>0</v>
      </c>
      <c r="N77" s="282" t="s">
        <v>139</v>
      </c>
      <c r="O77" s="302" t="str">
        <f>IF(OR(M77=0,N77="NA"),"NA",IFERROR(INDEX('Data - Reference'!$B$37:$B$50,MATCH('Unit Summary - Rent Roll'!$M77,INDEX('Data - Reference'!$B$37:$J$50,,MATCH('Unit Summary - Rent Roll'!$N77,'Data - Reference'!$B$37:$J$37,0)),-1),1),"NA"))</f>
        <v>NA</v>
      </c>
      <c r="P77" s="239" t="s">
        <v>85</v>
      </c>
      <c r="Q77" s="239" t="s">
        <v>85</v>
      </c>
      <c r="R77" s="188">
        <v>0</v>
      </c>
      <c r="S77" s="364">
        <f t="shared" si="9"/>
        <v>0</v>
      </c>
      <c r="T77" s="97">
        <f t="shared" si="10"/>
        <v>0</v>
      </c>
      <c r="U77" s="188">
        <v>0</v>
      </c>
      <c r="V77" s="364">
        <f t="shared" si="11"/>
        <v>0</v>
      </c>
      <c r="W77" s="97">
        <f t="shared" si="12"/>
        <v>0</v>
      </c>
      <c r="X77" s="71">
        <f>IFERROR(IF(INDEX(AC$14:AC$18,MATCH($E77,$AB$14:$AB$18,0))&lt;&gt;0,INDEX(AC$14:AC$18,MATCH($E77,$AB$14:$AB$18,0)),
IF($M77="Market",0,IF($L77="HUD FMR",INDEX('Data - Reference'!$B$31:$G$31,MATCH($E77,'Data - Reference'!$B$9:$G$9,0)),INDEX('Data - Reference'!$B$9:$G$31,MATCH($K77,'Data - Reference'!$B$9:$B$31,0),MATCH($E77,'Data - Reference'!$B$9:$G$9,0))))),0)</f>
        <v>0</v>
      </c>
      <c r="Y77" s="71">
        <f>IFERROR(IF(INDEX(AD$14:AD$18,MATCH($E77,$AB$14:$AB$18,0))&lt;&gt;0,INDEX(AD$14:AD$18,MATCH($E77,$AB$14:$AB$18,0)),
IF($K77="None - Market",0,-INDEX('Data - Reference'!$B$32:$G$32,MATCH($E77,'Data - Reference'!$B$9:$G$9,0)))),0)</f>
        <v>0</v>
      </c>
      <c r="Z77" s="74">
        <f t="shared" si="6"/>
        <v>0</v>
      </c>
      <c r="AA77" s="67">
        <f t="shared" si="13"/>
        <v>0</v>
      </c>
      <c r="AB77" s="97">
        <f t="shared" si="14"/>
        <v>0</v>
      </c>
      <c r="AC77" s="82">
        <f t="shared" si="5"/>
        <v>0</v>
      </c>
      <c r="AD77" s="83">
        <f t="shared" si="15"/>
        <v>0</v>
      </c>
      <c r="AE77" s="97">
        <f t="shared" si="16"/>
        <v>0</v>
      </c>
      <c r="AF77" s="415" t="str">
        <f t="shared" si="7"/>
        <v>NA</v>
      </c>
      <c r="AG77" s="420" t="str">
        <f t="shared" si="17"/>
        <v>NA</v>
      </c>
      <c r="AH77" s="420" t="str">
        <f t="shared" si="18"/>
        <v>NA</v>
      </c>
      <c r="AI77" s="417" t="str">
        <f t="shared" si="4"/>
        <v>NA</v>
      </c>
      <c r="AJ77" s="417" t="str">
        <f t="shared" si="19"/>
        <v>NA</v>
      </c>
      <c r="AK77" s="524" t="str">
        <f>IFERROR(INDEX('Legacy Resident Reference'!R:R,MATCH('Unit Summary - Rent Roll'!AJ77,'Legacy Resident Reference'!P:P,0)),"NA")</f>
        <v>NA</v>
      </c>
    </row>
    <row r="78" spans="2:37" ht="13.8" x14ac:dyDescent="0.3">
      <c r="B78" s="236">
        <v>52</v>
      </c>
      <c r="C78" s="580" t="s">
        <v>143</v>
      </c>
      <c r="D78" s="581"/>
      <c r="E78" s="186" t="s">
        <v>139</v>
      </c>
      <c r="F78" s="187">
        <v>0</v>
      </c>
      <c r="G78" s="239" t="s">
        <v>85</v>
      </c>
      <c r="H78" s="243">
        <v>0</v>
      </c>
      <c r="I78" s="373">
        <f t="shared" si="8"/>
        <v>0</v>
      </c>
      <c r="J78" s="250" t="s">
        <v>139</v>
      </c>
      <c r="K78" s="508" t="s">
        <v>139</v>
      </c>
      <c r="L78" s="399" t="s">
        <v>139</v>
      </c>
      <c r="M78" s="403">
        <v>0</v>
      </c>
      <c r="N78" s="282" t="s">
        <v>139</v>
      </c>
      <c r="O78" s="302" t="str">
        <f>IF(OR(M78=0,N78="NA"),"NA",IFERROR(INDEX('Data - Reference'!$B$37:$B$50,MATCH('Unit Summary - Rent Roll'!$M78,INDEX('Data - Reference'!$B$37:$J$50,,MATCH('Unit Summary - Rent Roll'!$N78,'Data - Reference'!$B$37:$J$37,0)),-1),1),"NA"))</f>
        <v>NA</v>
      </c>
      <c r="P78" s="239" t="s">
        <v>85</v>
      </c>
      <c r="Q78" s="239" t="s">
        <v>85</v>
      </c>
      <c r="R78" s="188">
        <v>0</v>
      </c>
      <c r="S78" s="364">
        <f t="shared" si="9"/>
        <v>0</v>
      </c>
      <c r="T78" s="97">
        <f t="shared" si="10"/>
        <v>0</v>
      </c>
      <c r="U78" s="188">
        <v>0</v>
      </c>
      <c r="V78" s="364">
        <f t="shared" si="11"/>
        <v>0</v>
      </c>
      <c r="W78" s="97">
        <f t="shared" si="12"/>
        <v>0</v>
      </c>
      <c r="X78" s="71">
        <f>IFERROR(IF(INDEX(AC$14:AC$18,MATCH($E78,$AB$14:$AB$18,0))&lt;&gt;0,INDEX(AC$14:AC$18,MATCH($E78,$AB$14:$AB$18,0)),
IF($M78="Market",0,IF($L78="HUD FMR",INDEX('Data - Reference'!$B$31:$G$31,MATCH($E78,'Data - Reference'!$B$9:$G$9,0)),INDEX('Data - Reference'!$B$9:$G$31,MATCH($K78,'Data - Reference'!$B$9:$B$31,0),MATCH($E78,'Data - Reference'!$B$9:$G$9,0))))),0)</f>
        <v>0</v>
      </c>
      <c r="Y78" s="71">
        <f>IFERROR(IF(INDEX(AD$14:AD$18,MATCH($E78,$AB$14:$AB$18,0))&lt;&gt;0,INDEX(AD$14:AD$18,MATCH($E78,$AB$14:$AB$18,0)),
IF($K78="None - Market",0,-INDEX('Data - Reference'!$B$32:$G$32,MATCH($E78,'Data - Reference'!$B$9:$G$9,0)))),0)</f>
        <v>0</v>
      </c>
      <c r="Z78" s="74">
        <f t="shared" si="6"/>
        <v>0</v>
      </c>
      <c r="AA78" s="67">
        <f t="shared" si="13"/>
        <v>0</v>
      </c>
      <c r="AB78" s="97">
        <f t="shared" si="14"/>
        <v>0</v>
      </c>
      <c r="AC78" s="82">
        <f t="shared" si="5"/>
        <v>0</v>
      </c>
      <c r="AD78" s="83">
        <f t="shared" si="15"/>
        <v>0</v>
      </c>
      <c r="AE78" s="97">
        <f t="shared" si="16"/>
        <v>0</v>
      </c>
      <c r="AF78" s="415" t="str">
        <f t="shared" si="7"/>
        <v>NA</v>
      </c>
      <c r="AG78" s="420" t="str">
        <f t="shared" si="17"/>
        <v>NA</v>
      </c>
      <c r="AH78" s="420" t="str">
        <f t="shared" si="18"/>
        <v>NA</v>
      </c>
      <c r="AI78" s="417" t="str">
        <f t="shared" si="4"/>
        <v>NA</v>
      </c>
      <c r="AJ78" s="417" t="str">
        <f t="shared" si="19"/>
        <v>NA</v>
      </c>
      <c r="AK78" s="524" t="str">
        <f>IFERROR(INDEX('Legacy Resident Reference'!R:R,MATCH('Unit Summary - Rent Roll'!AJ78,'Legacy Resident Reference'!P:P,0)),"NA")</f>
        <v>NA</v>
      </c>
    </row>
    <row r="79" spans="2:37" ht="13.8" x14ac:dyDescent="0.3">
      <c r="B79" s="236">
        <v>53</v>
      </c>
      <c r="C79" s="580" t="s">
        <v>143</v>
      </c>
      <c r="D79" s="581"/>
      <c r="E79" s="186" t="s">
        <v>139</v>
      </c>
      <c r="F79" s="187">
        <v>0</v>
      </c>
      <c r="G79" s="239" t="s">
        <v>85</v>
      </c>
      <c r="H79" s="243">
        <v>0</v>
      </c>
      <c r="I79" s="373">
        <f t="shared" si="8"/>
        <v>0</v>
      </c>
      <c r="J79" s="250" t="s">
        <v>139</v>
      </c>
      <c r="K79" s="508" t="s">
        <v>139</v>
      </c>
      <c r="L79" s="399" t="s">
        <v>139</v>
      </c>
      <c r="M79" s="403">
        <v>0</v>
      </c>
      <c r="N79" s="282" t="s">
        <v>139</v>
      </c>
      <c r="O79" s="302" t="str">
        <f>IF(OR(M79=0,N79="NA"),"NA",IFERROR(INDEX('Data - Reference'!$B$37:$B$50,MATCH('Unit Summary - Rent Roll'!$M79,INDEX('Data - Reference'!$B$37:$J$50,,MATCH('Unit Summary - Rent Roll'!$N79,'Data - Reference'!$B$37:$J$37,0)),-1),1),"NA"))</f>
        <v>NA</v>
      </c>
      <c r="P79" s="239" t="s">
        <v>85</v>
      </c>
      <c r="Q79" s="239" t="s">
        <v>85</v>
      </c>
      <c r="R79" s="188">
        <v>0</v>
      </c>
      <c r="S79" s="364">
        <f t="shared" si="9"/>
        <v>0</v>
      </c>
      <c r="T79" s="97">
        <f t="shared" si="10"/>
        <v>0</v>
      </c>
      <c r="U79" s="188">
        <v>0</v>
      </c>
      <c r="V79" s="364">
        <f t="shared" si="11"/>
        <v>0</v>
      </c>
      <c r="W79" s="97">
        <f t="shared" si="12"/>
        <v>0</v>
      </c>
      <c r="X79" s="71">
        <f>IFERROR(IF(INDEX(AC$14:AC$18,MATCH($E79,$AB$14:$AB$18,0))&lt;&gt;0,INDEX(AC$14:AC$18,MATCH($E79,$AB$14:$AB$18,0)),
IF($M79="Market",0,IF($L79="HUD FMR",INDEX('Data - Reference'!$B$31:$G$31,MATCH($E79,'Data - Reference'!$B$9:$G$9,0)),INDEX('Data - Reference'!$B$9:$G$31,MATCH($K79,'Data - Reference'!$B$9:$B$31,0),MATCH($E79,'Data - Reference'!$B$9:$G$9,0))))),0)</f>
        <v>0</v>
      </c>
      <c r="Y79" s="71">
        <f>IFERROR(IF(INDEX(AD$14:AD$18,MATCH($E79,$AB$14:$AB$18,0))&lt;&gt;0,INDEX(AD$14:AD$18,MATCH($E79,$AB$14:$AB$18,0)),
IF($K79="None - Market",0,-INDEX('Data - Reference'!$B$32:$G$32,MATCH($E79,'Data - Reference'!$B$9:$G$9,0)))),0)</f>
        <v>0</v>
      </c>
      <c r="Z79" s="74">
        <f t="shared" si="6"/>
        <v>0</v>
      </c>
      <c r="AA79" s="67">
        <f t="shared" si="13"/>
        <v>0</v>
      </c>
      <c r="AB79" s="97">
        <f t="shared" si="14"/>
        <v>0</v>
      </c>
      <c r="AC79" s="82">
        <f t="shared" si="5"/>
        <v>0</v>
      </c>
      <c r="AD79" s="83">
        <f t="shared" si="15"/>
        <v>0</v>
      </c>
      <c r="AE79" s="97">
        <f t="shared" si="16"/>
        <v>0</v>
      </c>
      <c r="AF79" s="415" t="str">
        <f t="shared" si="7"/>
        <v>NA</v>
      </c>
      <c r="AG79" s="420" t="str">
        <f t="shared" si="17"/>
        <v>NA</v>
      </c>
      <c r="AH79" s="420" t="str">
        <f t="shared" si="18"/>
        <v>NA</v>
      </c>
      <c r="AI79" s="417" t="str">
        <f t="shared" si="4"/>
        <v>NA</v>
      </c>
      <c r="AJ79" s="417" t="str">
        <f t="shared" si="19"/>
        <v>NA</v>
      </c>
      <c r="AK79" s="524" t="str">
        <f>IFERROR(INDEX('Legacy Resident Reference'!R:R,MATCH('Unit Summary - Rent Roll'!AJ79,'Legacy Resident Reference'!P:P,0)),"NA")</f>
        <v>NA</v>
      </c>
    </row>
    <row r="80" spans="2:37" ht="13.8" x14ac:dyDescent="0.3">
      <c r="B80" s="236">
        <v>54</v>
      </c>
      <c r="C80" s="580" t="s">
        <v>143</v>
      </c>
      <c r="D80" s="581"/>
      <c r="E80" s="186" t="s">
        <v>139</v>
      </c>
      <c r="F80" s="187">
        <v>0</v>
      </c>
      <c r="G80" s="239" t="s">
        <v>85</v>
      </c>
      <c r="H80" s="243">
        <v>0</v>
      </c>
      <c r="I80" s="373">
        <f t="shared" si="8"/>
        <v>0</v>
      </c>
      <c r="J80" s="250" t="s">
        <v>139</v>
      </c>
      <c r="K80" s="508" t="s">
        <v>139</v>
      </c>
      <c r="L80" s="399" t="s">
        <v>139</v>
      </c>
      <c r="M80" s="403">
        <v>0</v>
      </c>
      <c r="N80" s="282" t="s">
        <v>139</v>
      </c>
      <c r="O80" s="302" t="str">
        <f>IF(OR(M80=0,N80="NA"),"NA",IFERROR(INDEX('Data - Reference'!$B$37:$B$50,MATCH('Unit Summary - Rent Roll'!$M80,INDEX('Data - Reference'!$B$37:$J$50,,MATCH('Unit Summary - Rent Roll'!$N80,'Data - Reference'!$B$37:$J$37,0)),-1),1),"NA"))</f>
        <v>NA</v>
      </c>
      <c r="P80" s="239" t="s">
        <v>85</v>
      </c>
      <c r="Q80" s="239" t="s">
        <v>85</v>
      </c>
      <c r="R80" s="188">
        <v>0</v>
      </c>
      <c r="S80" s="364">
        <f t="shared" si="9"/>
        <v>0</v>
      </c>
      <c r="T80" s="97">
        <f t="shared" si="10"/>
        <v>0</v>
      </c>
      <c r="U80" s="188">
        <v>0</v>
      </c>
      <c r="V80" s="364">
        <f t="shared" si="11"/>
        <v>0</v>
      </c>
      <c r="W80" s="97">
        <f t="shared" si="12"/>
        <v>0</v>
      </c>
      <c r="X80" s="71">
        <f>IFERROR(IF(INDEX(AC$14:AC$18,MATCH($E80,$AB$14:$AB$18,0))&lt;&gt;0,INDEX(AC$14:AC$18,MATCH($E80,$AB$14:$AB$18,0)),
IF($M80="Market",0,IF($L80="HUD FMR",INDEX('Data - Reference'!$B$31:$G$31,MATCH($E80,'Data - Reference'!$B$9:$G$9,0)),INDEX('Data - Reference'!$B$9:$G$31,MATCH($K80,'Data - Reference'!$B$9:$B$31,0),MATCH($E80,'Data - Reference'!$B$9:$G$9,0))))),0)</f>
        <v>0</v>
      </c>
      <c r="Y80" s="71">
        <f>IFERROR(IF(INDEX(AD$14:AD$18,MATCH($E80,$AB$14:$AB$18,0))&lt;&gt;0,INDEX(AD$14:AD$18,MATCH($E80,$AB$14:$AB$18,0)),
IF($K80="None - Market",0,-INDEX('Data - Reference'!$B$32:$G$32,MATCH($E80,'Data - Reference'!$B$9:$G$9,0)))),0)</f>
        <v>0</v>
      </c>
      <c r="Z80" s="74">
        <f t="shared" si="6"/>
        <v>0</v>
      </c>
      <c r="AA80" s="67">
        <f t="shared" si="13"/>
        <v>0</v>
      </c>
      <c r="AB80" s="97">
        <f t="shared" si="14"/>
        <v>0</v>
      </c>
      <c r="AC80" s="82">
        <f t="shared" si="5"/>
        <v>0</v>
      </c>
      <c r="AD80" s="83">
        <f t="shared" si="15"/>
        <v>0</v>
      </c>
      <c r="AE80" s="97">
        <f t="shared" si="16"/>
        <v>0</v>
      </c>
      <c r="AF80" s="415" t="str">
        <f t="shared" si="7"/>
        <v>NA</v>
      </c>
      <c r="AG80" s="420" t="str">
        <f t="shared" si="17"/>
        <v>NA</v>
      </c>
      <c r="AH80" s="420" t="str">
        <f t="shared" si="18"/>
        <v>NA</v>
      </c>
      <c r="AI80" s="417" t="str">
        <f t="shared" si="4"/>
        <v>NA</v>
      </c>
      <c r="AJ80" s="417" t="str">
        <f t="shared" si="19"/>
        <v>NA</v>
      </c>
      <c r="AK80" s="524" t="str">
        <f>IFERROR(INDEX('Legacy Resident Reference'!R:R,MATCH('Unit Summary - Rent Roll'!AJ80,'Legacy Resident Reference'!P:P,0)),"NA")</f>
        <v>NA</v>
      </c>
    </row>
    <row r="81" spans="2:37" ht="13.8" x14ac:dyDescent="0.3">
      <c r="B81" s="236">
        <v>55</v>
      </c>
      <c r="C81" s="580" t="s">
        <v>143</v>
      </c>
      <c r="D81" s="581"/>
      <c r="E81" s="186" t="s">
        <v>139</v>
      </c>
      <c r="F81" s="187">
        <v>0</v>
      </c>
      <c r="G81" s="239" t="s">
        <v>85</v>
      </c>
      <c r="H81" s="243">
        <v>0</v>
      </c>
      <c r="I81" s="373">
        <f t="shared" si="8"/>
        <v>0</v>
      </c>
      <c r="J81" s="250" t="s">
        <v>139</v>
      </c>
      <c r="K81" s="508" t="s">
        <v>139</v>
      </c>
      <c r="L81" s="399" t="s">
        <v>139</v>
      </c>
      <c r="M81" s="403">
        <v>0</v>
      </c>
      <c r="N81" s="282" t="s">
        <v>139</v>
      </c>
      <c r="O81" s="302" t="str">
        <f>IF(OR(M81=0,N81="NA"),"NA",IFERROR(INDEX('Data - Reference'!$B$37:$B$50,MATCH('Unit Summary - Rent Roll'!$M81,INDEX('Data - Reference'!$B$37:$J$50,,MATCH('Unit Summary - Rent Roll'!$N81,'Data - Reference'!$B$37:$J$37,0)),-1),1),"NA"))</f>
        <v>NA</v>
      </c>
      <c r="P81" s="239" t="s">
        <v>85</v>
      </c>
      <c r="Q81" s="239" t="s">
        <v>85</v>
      </c>
      <c r="R81" s="188">
        <v>0</v>
      </c>
      <c r="S81" s="364">
        <f t="shared" si="9"/>
        <v>0</v>
      </c>
      <c r="T81" s="97">
        <f t="shared" si="10"/>
        <v>0</v>
      </c>
      <c r="U81" s="188">
        <v>0</v>
      </c>
      <c r="V81" s="364">
        <f t="shared" si="11"/>
        <v>0</v>
      </c>
      <c r="W81" s="97">
        <f t="shared" si="12"/>
        <v>0</v>
      </c>
      <c r="X81" s="71">
        <f>IFERROR(IF(INDEX(AC$14:AC$18,MATCH($E81,$AB$14:$AB$18,0))&lt;&gt;0,INDEX(AC$14:AC$18,MATCH($E81,$AB$14:$AB$18,0)),
IF($M81="Market",0,IF($L81="HUD FMR",INDEX('Data - Reference'!$B$31:$G$31,MATCH($E81,'Data - Reference'!$B$9:$G$9,0)),INDEX('Data - Reference'!$B$9:$G$31,MATCH($K81,'Data - Reference'!$B$9:$B$31,0),MATCH($E81,'Data - Reference'!$B$9:$G$9,0))))),0)</f>
        <v>0</v>
      </c>
      <c r="Y81" s="71">
        <f>IFERROR(IF(INDEX(AD$14:AD$18,MATCH($E81,$AB$14:$AB$18,0))&lt;&gt;0,INDEX(AD$14:AD$18,MATCH($E81,$AB$14:$AB$18,0)),
IF($K81="None - Market",0,-INDEX('Data - Reference'!$B$32:$G$32,MATCH($E81,'Data - Reference'!$B$9:$G$9,0)))),0)</f>
        <v>0</v>
      </c>
      <c r="Z81" s="74">
        <f t="shared" si="6"/>
        <v>0</v>
      </c>
      <c r="AA81" s="67">
        <f t="shared" si="13"/>
        <v>0</v>
      </c>
      <c r="AB81" s="97">
        <f t="shared" si="14"/>
        <v>0</v>
      </c>
      <c r="AC81" s="82">
        <f t="shared" si="5"/>
        <v>0</v>
      </c>
      <c r="AD81" s="83">
        <f t="shared" si="15"/>
        <v>0</v>
      </c>
      <c r="AE81" s="97">
        <f t="shared" si="16"/>
        <v>0</v>
      </c>
      <c r="AF81" s="415" t="str">
        <f t="shared" si="7"/>
        <v>NA</v>
      </c>
      <c r="AG81" s="420" t="str">
        <f t="shared" si="17"/>
        <v>NA</v>
      </c>
      <c r="AH81" s="420" t="str">
        <f t="shared" si="18"/>
        <v>NA</v>
      </c>
      <c r="AI81" s="417" t="str">
        <f t="shared" si="4"/>
        <v>NA</v>
      </c>
      <c r="AJ81" s="417" t="str">
        <f t="shared" si="19"/>
        <v>NA</v>
      </c>
      <c r="AK81" s="524" t="str">
        <f>IFERROR(INDEX('Legacy Resident Reference'!R:R,MATCH('Unit Summary - Rent Roll'!AJ81,'Legacy Resident Reference'!P:P,0)),"NA")</f>
        <v>NA</v>
      </c>
    </row>
    <row r="82" spans="2:37" ht="13.8" x14ac:dyDescent="0.3">
      <c r="B82" s="236">
        <v>56</v>
      </c>
      <c r="C82" s="580" t="s">
        <v>143</v>
      </c>
      <c r="D82" s="581"/>
      <c r="E82" s="186" t="s">
        <v>139</v>
      </c>
      <c r="F82" s="187">
        <v>0</v>
      </c>
      <c r="G82" s="239" t="s">
        <v>85</v>
      </c>
      <c r="H82" s="243">
        <v>0</v>
      </c>
      <c r="I82" s="373">
        <f t="shared" si="8"/>
        <v>0</v>
      </c>
      <c r="J82" s="250" t="s">
        <v>139</v>
      </c>
      <c r="K82" s="508" t="s">
        <v>139</v>
      </c>
      <c r="L82" s="399" t="s">
        <v>139</v>
      </c>
      <c r="M82" s="403">
        <v>0</v>
      </c>
      <c r="N82" s="282" t="s">
        <v>139</v>
      </c>
      <c r="O82" s="302" t="str">
        <f>IF(OR(M82=0,N82="NA"),"NA",IFERROR(INDEX('Data - Reference'!$B$37:$B$50,MATCH('Unit Summary - Rent Roll'!$M82,INDEX('Data - Reference'!$B$37:$J$50,,MATCH('Unit Summary - Rent Roll'!$N82,'Data - Reference'!$B$37:$J$37,0)),-1),1),"NA"))</f>
        <v>NA</v>
      </c>
      <c r="P82" s="239" t="s">
        <v>85</v>
      </c>
      <c r="Q82" s="239" t="s">
        <v>85</v>
      </c>
      <c r="R82" s="188">
        <v>0</v>
      </c>
      <c r="S82" s="364">
        <f t="shared" si="9"/>
        <v>0</v>
      </c>
      <c r="T82" s="97">
        <f t="shared" si="10"/>
        <v>0</v>
      </c>
      <c r="U82" s="188">
        <v>0</v>
      </c>
      <c r="V82" s="364">
        <f t="shared" si="11"/>
        <v>0</v>
      </c>
      <c r="W82" s="97">
        <f t="shared" si="12"/>
        <v>0</v>
      </c>
      <c r="X82" s="71">
        <f>IFERROR(IF(INDEX(AC$14:AC$18,MATCH($E82,$AB$14:$AB$18,0))&lt;&gt;0,INDEX(AC$14:AC$18,MATCH($E82,$AB$14:$AB$18,0)),
IF($M82="Market",0,IF($L82="HUD FMR",INDEX('Data - Reference'!$B$31:$G$31,MATCH($E82,'Data - Reference'!$B$9:$G$9,0)),INDEX('Data - Reference'!$B$9:$G$31,MATCH($K82,'Data - Reference'!$B$9:$B$31,0),MATCH($E82,'Data - Reference'!$B$9:$G$9,0))))),0)</f>
        <v>0</v>
      </c>
      <c r="Y82" s="71">
        <f>IFERROR(IF(INDEX(AD$14:AD$18,MATCH($E82,$AB$14:$AB$18,0))&lt;&gt;0,INDEX(AD$14:AD$18,MATCH($E82,$AB$14:$AB$18,0)),
IF($K82="None - Market",0,-INDEX('Data - Reference'!$B$32:$G$32,MATCH($E82,'Data - Reference'!$B$9:$G$9,0)))),0)</f>
        <v>0</v>
      </c>
      <c r="Z82" s="74">
        <f t="shared" si="6"/>
        <v>0</v>
      </c>
      <c r="AA82" s="67">
        <f t="shared" si="13"/>
        <v>0</v>
      </c>
      <c r="AB82" s="97">
        <f t="shared" si="14"/>
        <v>0</v>
      </c>
      <c r="AC82" s="82">
        <f t="shared" si="5"/>
        <v>0</v>
      </c>
      <c r="AD82" s="83">
        <f t="shared" si="15"/>
        <v>0</v>
      </c>
      <c r="AE82" s="97">
        <f t="shared" si="16"/>
        <v>0</v>
      </c>
      <c r="AF82" s="415" t="str">
        <f t="shared" si="7"/>
        <v>NA</v>
      </c>
      <c r="AG82" s="420" t="str">
        <f t="shared" si="17"/>
        <v>NA</v>
      </c>
      <c r="AH82" s="420" t="str">
        <f t="shared" si="18"/>
        <v>NA</v>
      </c>
      <c r="AI82" s="417" t="str">
        <f t="shared" si="4"/>
        <v>NA</v>
      </c>
      <c r="AJ82" s="417" t="str">
        <f t="shared" si="19"/>
        <v>NA</v>
      </c>
      <c r="AK82" s="524" t="str">
        <f>IFERROR(INDEX('Legacy Resident Reference'!R:R,MATCH('Unit Summary - Rent Roll'!AJ82,'Legacy Resident Reference'!P:P,0)),"NA")</f>
        <v>NA</v>
      </c>
    </row>
    <row r="83" spans="2:37" ht="13.8" x14ac:dyDescent="0.3">
      <c r="B83" s="236">
        <v>57</v>
      </c>
      <c r="C83" s="580" t="s">
        <v>143</v>
      </c>
      <c r="D83" s="581"/>
      <c r="E83" s="186" t="s">
        <v>139</v>
      </c>
      <c r="F83" s="187">
        <v>0</v>
      </c>
      <c r="G83" s="239" t="s">
        <v>85</v>
      </c>
      <c r="H83" s="243">
        <v>0</v>
      </c>
      <c r="I83" s="373">
        <f t="shared" si="8"/>
        <v>0</v>
      </c>
      <c r="J83" s="250" t="s">
        <v>139</v>
      </c>
      <c r="K83" s="508" t="s">
        <v>139</v>
      </c>
      <c r="L83" s="399" t="s">
        <v>139</v>
      </c>
      <c r="M83" s="403">
        <v>0</v>
      </c>
      <c r="N83" s="282" t="s">
        <v>139</v>
      </c>
      <c r="O83" s="302" t="str">
        <f>IF(OR(M83=0,N83="NA"),"NA",IFERROR(INDEX('Data - Reference'!$B$37:$B$50,MATCH('Unit Summary - Rent Roll'!$M83,INDEX('Data - Reference'!$B$37:$J$50,,MATCH('Unit Summary - Rent Roll'!$N83,'Data - Reference'!$B$37:$J$37,0)),-1),1),"NA"))</f>
        <v>NA</v>
      </c>
      <c r="P83" s="239" t="s">
        <v>85</v>
      </c>
      <c r="Q83" s="239" t="s">
        <v>85</v>
      </c>
      <c r="R83" s="188">
        <v>0</v>
      </c>
      <c r="S83" s="364">
        <f t="shared" si="9"/>
        <v>0</v>
      </c>
      <c r="T83" s="97">
        <f t="shared" si="10"/>
        <v>0</v>
      </c>
      <c r="U83" s="188">
        <v>0</v>
      </c>
      <c r="V83" s="364">
        <f t="shared" si="11"/>
        <v>0</v>
      </c>
      <c r="W83" s="97">
        <f t="shared" si="12"/>
        <v>0</v>
      </c>
      <c r="X83" s="71">
        <f>IFERROR(IF(INDEX(AC$14:AC$18,MATCH($E83,$AB$14:$AB$18,0))&lt;&gt;0,INDEX(AC$14:AC$18,MATCH($E83,$AB$14:$AB$18,0)),
IF($M83="Market",0,IF($L83="HUD FMR",INDEX('Data - Reference'!$B$31:$G$31,MATCH($E83,'Data - Reference'!$B$9:$G$9,0)),INDEX('Data - Reference'!$B$9:$G$31,MATCH($K83,'Data - Reference'!$B$9:$B$31,0),MATCH($E83,'Data - Reference'!$B$9:$G$9,0))))),0)</f>
        <v>0</v>
      </c>
      <c r="Y83" s="71">
        <f>IFERROR(IF(INDEX(AD$14:AD$18,MATCH($E83,$AB$14:$AB$18,0))&lt;&gt;0,INDEX(AD$14:AD$18,MATCH($E83,$AB$14:$AB$18,0)),
IF($K83="None - Market",0,-INDEX('Data - Reference'!$B$32:$G$32,MATCH($E83,'Data - Reference'!$B$9:$G$9,0)))),0)</f>
        <v>0</v>
      </c>
      <c r="Z83" s="74">
        <f t="shared" si="6"/>
        <v>0</v>
      </c>
      <c r="AA83" s="67">
        <f t="shared" si="13"/>
        <v>0</v>
      </c>
      <c r="AB83" s="97">
        <f t="shared" si="14"/>
        <v>0</v>
      </c>
      <c r="AC83" s="82">
        <f t="shared" si="5"/>
        <v>0</v>
      </c>
      <c r="AD83" s="83">
        <f t="shared" si="15"/>
        <v>0</v>
      </c>
      <c r="AE83" s="97">
        <f t="shared" si="16"/>
        <v>0</v>
      </c>
      <c r="AF83" s="415" t="str">
        <f t="shared" si="7"/>
        <v>NA</v>
      </c>
      <c r="AG83" s="420" t="str">
        <f t="shared" si="17"/>
        <v>NA</v>
      </c>
      <c r="AH83" s="420" t="str">
        <f t="shared" si="18"/>
        <v>NA</v>
      </c>
      <c r="AI83" s="417" t="str">
        <f t="shared" si="4"/>
        <v>NA</v>
      </c>
      <c r="AJ83" s="417" t="str">
        <f t="shared" si="19"/>
        <v>NA</v>
      </c>
      <c r="AK83" s="524" t="str">
        <f>IFERROR(INDEX('Legacy Resident Reference'!R:R,MATCH('Unit Summary - Rent Roll'!AJ83,'Legacy Resident Reference'!P:P,0)),"NA")</f>
        <v>NA</v>
      </c>
    </row>
    <row r="84" spans="2:37" ht="13.8" x14ac:dyDescent="0.3">
      <c r="B84" s="236">
        <v>58</v>
      </c>
      <c r="C84" s="580" t="s">
        <v>143</v>
      </c>
      <c r="D84" s="581"/>
      <c r="E84" s="186" t="s">
        <v>139</v>
      </c>
      <c r="F84" s="187">
        <v>0</v>
      </c>
      <c r="G84" s="239" t="s">
        <v>85</v>
      </c>
      <c r="H84" s="243">
        <v>0</v>
      </c>
      <c r="I84" s="373">
        <f t="shared" si="8"/>
        <v>0</v>
      </c>
      <c r="J84" s="250" t="s">
        <v>139</v>
      </c>
      <c r="K84" s="508" t="s">
        <v>139</v>
      </c>
      <c r="L84" s="399" t="s">
        <v>139</v>
      </c>
      <c r="M84" s="403">
        <v>0</v>
      </c>
      <c r="N84" s="282" t="s">
        <v>139</v>
      </c>
      <c r="O84" s="302" t="str">
        <f>IF(OR(M84=0,N84="NA"),"NA",IFERROR(INDEX('Data - Reference'!$B$37:$B$50,MATCH('Unit Summary - Rent Roll'!$M84,INDEX('Data - Reference'!$B$37:$J$50,,MATCH('Unit Summary - Rent Roll'!$N84,'Data - Reference'!$B$37:$J$37,0)),-1),1),"NA"))</f>
        <v>NA</v>
      </c>
      <c r="P84" s="239" t="s">
        <v>85</v>
      </c>
      <c r="Q84" s="239" t="s">
        <v>85</v>
      </c>
      <c r="R84" s="188">
        <v>0</v>
      </c>
      <c r="S84" s="364">
        <f t="shared" si="9"/>
        <v>0</v>
      </c>
      <c r="T84" s="97">
        <f t="shared" si="10"/>
        <v>0</v>
      </c>
      <c r="U84" s="188">
        <v>0</v>
      </c>
      <c r="V84" s="364">
        <f t="shared" si="11"/>
        <v>0</v>
      </c>
      <c r="W84" s="97">
        <f t="shared" si="12"/>
        <v>0</v>
      </c>
      <c r="X84" s="71">
        <f>IFERROR(IF(INDEX(AC$14:AC$18,MATCH($E84,$AB$14:$AB$18,0))&lt;&gt;0,INDEX(AC$14:AC$18,MATCH($E84,$AB$14:$AB$18,0)),
IF($M84="Market",0,IF($L84="HUD FMR",INDEX('Data - Reference'!$B$31:$G$31,MATCH($E84,'Data - Reference'!$B$9:$G$9,0)),INDEX('Data - Reference'!$B$9:$G$31,MATCH($K84,'Data - Reference'!$B$9:$B$31,0),MATCH($E84,'Data - Reference'!$B$9:$G$9,0))))),0)</f>
        <v>0</v>
      </c>
      <c r="Y84" s="71">
        <f>IFERROR(IF(INDEX(AD$14:AD$18,MATCH($E84,$AB$14:$AB$18,0))&lt;&gt;0,INDEX(AD$14:AD$18,MATCH($E84,$AB$14:$AB$18,0)),
IF($K84="None - Market",0,-INDEX('Data - Reference'!$B$32:$G$32,MATCH($E84,'Data - Reference'!$B$9:$G$9,0)))),0)</f>
        <v>0</v>
      </c>
      <c r="Z84" s="74">
        <f t="shared" si="6"/>
        <v>0</v>
      </c>
      <c r="AA84" s="67">
        <f t="shared" si="13"/>
        <v>0</v>
      </c>
      <c r="AB84" s="97">
        <f t="shared" si="14"/>
        <v>0</v>
      </c>
      <c r="AC84" s="82">
        <f t="shared" si="5"/>
        <v>0</v>
      </c>
      <c r="AD84" s="83">
        <f t="shared" si="15"/>
        <v>0</v>
      </c>
      <c r="AE84" s="97">
        <f t="shared" si="16"/>
        <v>0</v>
      </c>
      <c r="AF84" s="415" t="str">
        <f t="shared" si="7"/>
        <v>NA</v>
      </c>
      <c r="AG84" s="420" t="str">
        <f t="shared" si="17"/>
        <v>NA</v>
      </c>
      <c r="AH84" s="420" t="str">
        <f t="shared" si="18"/>
        <v>NA</v>
      </c>
      <c r="AI84" s="417" t="str">
        <f t="shared" si="4"/>
        <v>NA</v>
      </c>
      <c r="AJ84" s="417" t="str">
        <f t="shared" si="19"/>
        <v>NA</v>
      </c>
      <c r="AK84" s="524" t="str">
        <f>IFERROR(INDEX('Legacy Resident Reference'!R:R,MATCH('Unit Summary - Rent Roll'!AJ84,'Legacy Resident Reference'!P:P,0)),"NA")</f>
        <v>NA</v>
      </c>
    </row>
    <row r="85" spans="2:37" ht="13.8" x14ac:dyDescent="0.3">
      <c r="B85" s="236">
        <v>59</v>
      </c>
      <c r="C85" s="580" t="s">
        <v>143</v>
      </c>
      <c r="D85" s="581"/>
      <c r="E85" s="186" t="s">
        <v>139</v>
      </c>
      <c r="F85" s="187">
        <v>0</v>
      </c>
      <c r="G85" s="239" t="s">
        <v>85</v>
      </c>
      <c r="H85" s="243">
        <v>0</v>
      </c>
      <c r="I85" s="373">
        <f t="shared" si="8"/>
        <v>0</v>
      </c>
      <c r="J85" s="250" t="s">
        <v>139</v>
      </c>
      <c r="K85" s="508" t="s">
        <v>139</v>
      </c>
      <c r="L85" s="399" t="s">
        <v>139</v>
      </c>
      <c r="M85" s="403">
        <v>0</v>
      </c>
      <c r="N85" s="282" t="s">
        <v>139</v>
      </c>
      <c r="O85" s="302" t="str">
        <f>IF(OR(M85=0,N85="NA"),"NA",IFERROR(INDEX('Data - Reference'!$B$37:$B$50,MATCH('Unit Summary - Rent Roll'!$M85,INDEX('Data - Reference'!$B$37:$J$50,,MATCH('Unit Summary - Rent Roll'!$N85,'Data - Reference'!$B$37:$J$37,0)),-1),1),"NA"))</f>
        <v>NA</v>
      </c>
      <c r="P85" s="239" t="s">
        <v>85</v>
      </c>
      <c r="Q85" s="239" t="s">
        <v>85</v>
      </c>
      <c r="R85" s="188">
        <v>0</v>
      </c>
      <c r="S85" s="364">
        <f t="shared" si="9"/>
        <v>0</v>
      </c>
      <c r="T85" s="97">
        <f t="shared" si="10"/>
        <v>0</v>
      </c>
      <c r="U85" s="188">
        <v>0</v>
      </c>
      <c r="V85" s="364">
        <f t="shared" si="11"/>
        <v>0</v>
      </c>
      <c r="W85" s="97">
        <f t="shared" si="12"/>
        <v>0</v>
      </c>
      <c r="X85" s="71">
        <f>IFERROR(IF(INDEX(AC$14:AC$18,MATCH($E85,$AB$14:$AB$18,0))&lt;&gt;0,INDEX(AC$14:AC$18,MATCH($E85,$AB$14:$AB$18,0)),
IF($M85="Market",0,IF($L85="HUD FMR",INDEX('Data - Reference'!$B$31:$G$31,MATCH($E85,'Data - Reference'!$B$9:$G$9,0)),INDEX('Data - Reference'!$B$9:$G$31,MATCH($K85,'Data - Reference'!$B$9:$B$31,0),MATCH($E85,'Data - Reference'!$B$9:$G$9,0))))),0)</f>
        <v>0</v>
      </c>
      <c r="Y85" s="71">
        <f>IFERROR(IF(INDEX(AD$14:AD$18,MATCH($E85,$AB$14:$AB$18,0))&lt;&gt;0,INDEX(AD$14:AD$18,MATCH($E85,$AB$14:$AB$18,0)),
IF($K85="None - Market",0,-INDEX('Data - Reference'!$B$32:$G$32,MATCH($E85,'Data - Reference'!$B$9:$G$9,0)))),0)</f>
        <v>0</v>
      </c>
      <c r="Z85" s="74">
        <f t="shared" si="6"/>
        <v>0</v>
      </c>
      <c r="AA85" s="67">
        <f t="shared" si="13"/>
        <v>0</v>
      </c>
      <c r="AB85" s="97">
        <f t="shared" si="14"/>
        <v>0</v>
      </c>
      <c r="AC85" s="82">
        <f t="shared" si="5"/>
        <v>0</v>
      </c>
      <c r="AD85" s="83">
        <f t="shared" si="15"/>
        <v>0</v>
      </c>
      <c r="AE85" s="97">
        <f t="shared" si="16"/>
        <v>0</v>
      </c>
      <c r="AF85" s="415" t="str">
        <f t="shared" si="7"/>
        <v>NA</v>
      </c>
      <c r="AG85" s="420" t="str">
        <f t="shared" si="17"/>
        <v>NA</v>
      </c>
      <c r="AH85" s="420" t="str">
        <f t="shared" si="18"/>
        <v>NA</v>
      </c>
      <c r="AI85" s="417" t="str">
        <f t="shared" si="4"/>
        <v>NA</v>
      </c>
      <c r="AJ85" s="417" t="str">
        <f t="shared" si="19"/>
        <v>NA</v>
      </c>
      <c r="AK85" s="524" t="str">
        <f>IFERROR(INDEX('Legacy Resident Reference'!R:R,MATCH('Unit Summary - Rent Roll'!AJ85,'Legacy Resident Reference'!P:P,0)),"NA")</f>
        <v>NA</v>
      </c>
    </row>
    <row r="86" spans="2:37" ht="13.8" x14ac:dyDescent="0.3">
      <c r="B86" s="236">
        <v>60</v>
      </c>
      <c r="C86" s="580" t="s">
        <v>143</v>
      </c>
      <c r="D86" s="581"/>
      <c r="E86" s="186" t="s">
        <v>139</v>
      </c>
      <c r="F86" s="187">
        <v>0</v>
      </c>
      <c r="G86" s="239" t="s">
        <v>85</v>
      </c>
      <c r="H86" s="243">
        <v>0</v>
      </c>
      <c r="I86" s="373">
        <f t="shared" si="8"/>
        <v>0</v>
      </c>
      <c r="J86" s="250" t="s">
        <v>139</v>
      </c>
      <c r="K86" s="508" t="s">
        <v>139</v>
      </c>
      <c r="L86" s="399" t="s">
        <v>139</v>
      </c>
      <c r="M86" s="403">
        <v>0</v>
      </c>
      <c r="N86" s="282" t="s">
        <v>139</v>
      </c>
      <c r="O86" s="302" t="str">
        <f>IF(OR(M86=0,N86="NA"),"NA",IFERROR(INDEX('Data - Reference'!$B$37:$B$50,MATCH('Unit Summary - Rent Roll'!$M86,INDEX('Data - Reference'!$B$37:$J$50,,MATCH('Unit Summary - Rent Roll'!$N86,'Data - Reference'!$B$37:$J$37,0)),-1),1),"NA"))</f>
        <v>NA</v>
      </c>
      <c r="P86" s="239" t="s">
        <v>85</v>
      </c>
      <c r="Q86" s="239" t="s">
        <v>85</v>
      </c>
      <c r="R86" s="188">
        <v>0</v>
      </c>
      <c r="S86" s="364">
        <f t="shared" si="9"/>
        <v>0</v>
      </c>
      <c r="T86" s="97">
        <f t="shared" si="10"/>
        <v>0</v>
      </c>
      <c r="U86" s="188">
        <v>0</v>
      </c>
      <c r="V86" s="364">
        <f t="shared" si="11"/>
        <v>0</v>
      </c>
      <c r="W86" s="97">
        <f t="shared" si="12"/>
        <v>0</v>
      </c>
      <c r="X86" s="71">
        <f>IFERROR(IF(INDEX(AC$14:AC$18,MATCH($E86,$AB$14:$AB$18,0))&lt;&gt;0,INDEX(AC$14:AC$18,MATCH($E86,$AB$14:$AB$18,0)),
IF($M86="Market",0,IF($L86="HUD FMR",INDEX('Data - Reference'!$B$31:$G$31,MATCH($E86,'Data - Reference'!$B$9:$G$9,0)),INDEX('Data - Reference'!$B$9:$G$31,MATCH($K86,'Data - Reference'!$B$9:$B$31,0),MATCH($E86,'Data - Reference'!$B$9:$G$9,0))))),0)</f>
        <v>0</v>
      </c>
      <c r="Y86" s="71">
        <f>IFERROR(IF(INDEX(AD$14:AD$18,MATCH($E86,$AB$14:$AB$18,0))&lt;&gt;0,INDEX(AD$14:AD$18,MATCH($E86,$AB$14:$AB$18,0)),
IF($K86="None - Market",0,-INDEX('Data - Reference'!$B$32:$G$32,MATCH($E86,'Data - Reference'!$B$9:$G$9,0)))),0)</f>
        <v>0</v>
      </c>
      <c r="Z86" s="74">
        <f t="shared" si="6"/>
        <v>0</v>
      </c>
      <c r="AA86" s="67">
        <f t="shared" si="13"/>
        <v>0</v>
      </c>
      <c r="AB86" s="97">
        <f t="shared" si="14"/>
        <v>0</v>
      </c>
      <c r="AC86" s="82">
        <f t="shared" si="5"/>
        <v>0</v>
      </c>
      <c r="AD86" s="83">
        <f t="shared" si="15"/>
        <v>0</v>
      </c>
      <c r="AE86" s="97">
        <f t="shared" si="16"/>
        <v>0</v>
      </c>
      <c r="AF86" s="415" t="str">
        <f t="shared" si="7"/>
        <v>NA</v>
      </c>
      <c r="AG86" s="420" t="str">
        <f t="shared" si="17"/>
        <v>NA</v>
      </c>
      <c r="AH86" s="420" t="str">
        <f t="shared" si="18"/>
        <v>NA</v>
      </c>
      <c r="AI86" s="417" t="str">
        <f t="shared" si="4"/>
        <v>NA</v>
      </c>
      <c r="AJ86" s="417" t="str">
        <f t="shared" si="19"/>
        <v>NA</v>
      </c>
      <c r="AK86" s="524" t="str">
        <f>IFERROR(INDEX('Legacy Resident Reference'!R:R,MATCH('Unit Summary - Rent Roll'!AJ86,'Legacy Resident Reference'!P:P,0)),"NA")</f>
        <v>NA</v>
      </c>
    </row>
    <row r="87" spans="2:37" ht="13.8" x14ac:dyDescent="0.3">
      <c r="B87" s="236">
        <v>61</v>
      </c>
      <c r="C87" s="580" t="s">
        <v>143</v>
      </c>
      <c r="D87" s="581"/>
      <c r="E87" s="186" t="s">
        <v>139</v>
      </c>
      <c r="F87" s="187">
        <v>0</v>
      </c>
      <c r="G87" s="239" t="s">
        <v>85</v>
      </c>
      <c r="H87" s="243">
        <v>0</v>
      </c>
      <c r="I87" s="373">
        <f t="shared" si="8"/>
        <v>0</v>
      </c>
      <c r="J87" s="250" t="s">
        <v>139</v>
      </c>
      <c r="K87" s="508" t="s">
        <v>139</v>
      </c>
      <c r="L87" s="399" t="s">
        <v>139</v>
      </c>
      <c r="M87" s="403">
        <v>0</v>
      </c>
      <c r="N87" s="282" t="s">
        <v>139</v>
      </c>
      <c r="O87" s="302" t="str">
        <f>IF(OR(M87=0,N87="NA"),"NA",IFERROR(INDEX('Data - Reference'!$B$37:$B$50,MATCH('Unit Summary - Rent Roll'!$M87,INDEX('Data - Reference'!$B$37:$J$50,,MATCH('Unit Summary - Rent Roll'!$N87,'Data - Reference'!$B$37:$J$37,0)),-1),1),"NA"))</f>
        <v>NA</v>
      </c>
      <c r="P87" s="239" t="s">
        <v>85</v>
      </c>
      <c r="Q87" s="239" t="s">
        <v>85</v>
      </c>
      <c r="R87" s="188">
        <v>0</v>
      </c>
      <c r="S87" s="364">
        <f t="shared" si="9"/>
        <v>0</v>
      </c>
      <c r="T87" s="97">
        <f t="shared" si="10"/>
        <v>0</v>
      </c>
      <c r="U87" s="188">
        <v>0</v>
      </c>
      <c r="V87" s="364">
        <f t="shared" si="11"/>
        <v>0</v>
      </c>
      <c r="W87" s="97">
        <f t="shared" si="12"/>
        <v>0</v>
      </c>
      <c r="X87" s="71">
        <f>IFERROR(IF(INDEX(AC$14:AC$18,MATCH($E87,$AB$14:$AB$18,0))&lt;&gt;0,INDEX(AC$14:AC$18,MATCH($E87,$AB$14:$AB$18,0)),
IF($M87="Market",0,IF($L87="HUD FMR",INDEX('Data - Reference'!$B$31:$G$31,MATCH($E87,'Data - Reference'!$B$9:$G$9,0)),INDEX('Data - Reference'!$B$9:$G$31,MATCH($K87,'Data - Reference'!$B$9:$B$31,0),MATCH($E87,'Data - Reference'!$B$9:$G$9,0))))),0)</f>
        <v>0</v>
      </c>
      <c r="Y87" s="71">
        <f>IFERROR(IF(INDEX(AD$14:AD$18,MATCH($E87,$AB$14:$AB$18,0))&lt;&gt;0,INDEX(AD$14:AD$18,MATCH($E87,$AB$14:$AB$18,0)),
IF($K87="None - Market",0,-INDEX('Data - Reference'!$B$32:$G$32,MATCH($E87,'Data - Reference'!$B$9:$G$9,0)))),0)</f>
        <v>0</v>
      </c>
      <c r="Z87" s="74">
        <f t="shared" si="6"/>
        <v>0</v>
      </c>
      <c r="AA87" s="67">
        <f t="shared" si="13"/>
        <v>0</v>
      </c>
      <c r="AB87" s="97">
        <f t="shared" si="14"/>
        <v>0</v>
      </c>
      <c r="AC87" s="82">
        <f t="shared" si="5"/>
        <v>0</v>
      </c>
      <c r="AD87" s="83">
        <f t="shared" si="15"/>
        <v>0</v>
      </c>
      <c r="AE87" s="97">
        <f t="shared" si="16"/>
        <v>0</v>
      </c>
      <c r="AF87" s="415" t="str">
        <f t="shared" si="7"/>
        <v>NA</v>
      </c>
      <c r="AG87" s="420" t="str">
        <f t="shared" si="17"/>
        <v>NA</v>
      </c>
      <c r="AH87" s="420" t="str">
        <f t="shared" si="18"/>
        <v>NA</v>
      </c>
      <c r="AI87" s="417" t="str">
        <f t="shared" si="4"/>
        <v>NA</v>
      </c>
      <c r="AJ87" s="417" t="str">
        <f t="shared" si="19"/>
        <v>NA</v>
      </c>
      <c r="AK87" s="524" t="str">
        <f>IFERROR(INDEX('Legacy Resident Reference'!R:R,MATCH('Unit Summary - Rent Roll'!AJ87,'Legacy Resident Reference'!P:P,0)),"NA")</f>
        <v>NA</v>
      </c>
    </row>
    <row r="88" spans="2:37" ht="13.8" x14ac:dyDescent="0.3">
      <c r="B88" s="236">
        <v>62</v>
      </c>
      <c r="C88" s="580" t="s">
        <v>143</v>
      </c>
      <c r="D88" s="581"/>
      <c r="E88" s="186" t="s">
        <v>139</v>
      </c>
      <c r="F88" s="187">
        <v>0</v>
      </c>
      <c r="G88" s="239" t="s">
        <v>85</v>
      </c>
      <c r="H88" s="243">
        <v>0</v>
      </c>
      <c r="I88" s="373">
        <f t="shared" si="8"/>
        <v>0</v>
      </c>
      <c r="J88" s="250" t="s">
        <v>139</v>
      </c>
      <c r="K88" s="508" t="s">
        <v>139</v>
      </c>
      <c r="L88" s="399" t="s">
        <v>139</v>
      </c>
      <c r="M88" s="403">
        <v>0</v>
      </c>
      <c r="N88" s="282" t="s">
        <v>139</v>
      </c>
      <c r="O88" s="302" t="str">
        <f>IF(OR(M88=0,N88="NA"),"NA",IFERROR(INDEX('Data - Reference'!$B$37:$B$50,MATCH('Unit Summary - Rent Roll'!$M88,INDEX('Data - Reference'!$B$37:$J$50,,MATCH('Unit Summary - Rent Roll'!$N88,'Data - Reference'!$B$37:$J$37,0)),-1),1),"NA"))</f>
        <v>NA</v>
      </c>
      <c r="P88" s="239" t="s">
        <v>85</v>
      </c>
      <c r="Q88" s="239" t="s">
        <v>85</v>
      </c>
      <c r="R88" s="188">
        <v>0</v>
      </c>
      <c r="S88" s="364">
        <f t="shared" si="9"/>
        <v>0</v>
      </c>
      <c r="T88" s="97">
        <f t="shared" si="10"/>
        <v>0</v>
      </c>
      <c r="U88" s="188">
        <v>0</v>
      </c>
      <c r="V88" s="364">
        <f t="shared" si="11"/>
        <v>0</v>
      </c>
      <c r="W88" s="97">
        <f t="shared" si="12"/>
        <v>0</v>
      </c>
      <c r="X88" s="71">
        <f>IFERROR(IF(INDEX(AC$14:AC$18,MATCH($E88,$AB$14:$AB$18,0))&lt;&gt;0,INDEX(AC$14:AC$18,MATCH($E88,$AB$14:$AB$18,0)),
IF($M88="Market",0,IF($L88="HUD FMR",INDEX('Data - Reference'!$B$31:$G$31,MATCH($E88,'Data - Reference'!$B$9:$G$9,0)),INDEX('Data - Reference'!$B$9:$G$31,MATCH($K88,'Data - Reference'!$B$9:$B$31,0),MATCH($E88,'Data - Reference'!$B$9:$G$9,0))))),0)</f>
        <v>0</v>
      </c>
      <c r="Y88" s="71">
        <f>IFERROR(IF(INDEX(AD$14:AD$18,MATCH($E88,$AB$14:$AB$18,0))&lt;&gt;0,INDEX(AD$14:AD$18,MATCH($E88,$AB$14:$AB$18,0)),
IF($K88="None - Market",0,-INDEX('Data - Reference'!$B$32:$G$32,MATCH($E88,'Data - Reference'!$B$9:$G$9,0)))),0)</f>
        <v>0</v>
      </c>
      <c r="Z88" s="74">
        <f t="shared" si="6"/>
        <v>0</v>
      </c>
      <c r="AA88" s="67">
        <f t="shared" si="13"/>
        <v>0</v>
      </c>
      <c r="AB88" s="97">
        <f t="shared" si="14"/>
        <v>0</v>
      </c>
      <c r="AC88" s="82">
        <f t="shared" si="5"/>
        <v>0</v>
      </c>
      <c r="AD88" s="83">
        <f t="shared" si="15"/>
        <v>0</v>
      </c>
      <c r="AE88" s="97">
        <f t="shared" si="16"/>
        <v>0</v>
      </c>
      <c r="AF88" s="415" t="str">
        <f t="shared" si="7"/>
        <v>NA</v>
      </c>
      <c r="AG88" s="420" t="str">
        <f t="shared" si="17"/>
        <v>NA</v>
      </c>
      <c r="AH88" s="420" t="str">
        <f t="shared" si="18"/>
        <v>NA</v>
      </c>
      <c r="AI88" s="417" t="str">
        <f t="shared" si="4"/>
        <v>NA</v>
      </c>
      <c r="AJ88" s="417" t="str">
        <f t="shared" si="19"/>
        <v>NA</v>
      </c>
      <c r="AK88" s="524" t="str">
        <f>IFERROR(INDEX('Legacy Resident Reference'!R:R,MATCH('Unit Summary - Rent Roll'!AJ88,'Legacy Resident Reference'!P:P,0)),"NA")</f>
        <v>NA</v>
      </c>
    </row>
    <row r="89" spans="2:37" ht="13.8" x14ac:dyDescent="0.3">
      <c r="B89" s="236">
        <v>63</v>
      </c>
      <c r="C89" s="580" t="s">
        <v>143</v>
      </c>
      <c r="D89" s="581"/>
      <c r="E89" s="186" t="s">
        <v>139</v>
      </c>
      <c r="F89" s="187">
        <v>0</v>
      </c>
      <c r="G89" s="239" t="s">
        <v>85</v>
      </c>
      <c r="H89" s="243">
        <v>0</v>
      </c>
      <c r="I89" s="373">
        <f t="shared" si="8"/>
        <v>0</v>
      </c>
      <c r="J89" s="250" t="s">
        <v>139</v>
      </c>
      <c r="K89" s="508" t="s">
        <v>139</v>
      </c>
      <c r="L89" s="399" t="s">
        <v>139</v>
      </c>
      <c r="M89" s="403">
        <v>0</v>
      </c>
      <c r="N89" s="282" t="s">
        <v>139</v>
      </c>
      <c r="O89" s="302" t="str">
        <f>IF(OR(M89=0,N89="NA"),"NA",IFERROR(INDEX('Data - Reference'!$B$37:$B$50,MATCH('Unit Summary - Rent Roll'!$M89,INDEX('Data - Reference'!$B$37:$J$50,,MATCH('Unit Summary - Rent Roll'!$N89,'Data - Reference'!$B$37:$J$37,0)),-1),1),"NA"))</f>
        <v>NA</v>
      </c>
      <c r="P89" s="239" t="s">
        <v>85</v>
      </c>
      <c r="Q89" s="239" t="s">
        <v>85</v>
      </c>
      <c r="R89" s="188">
        <v>0</v>
      </c>
      <c r="S89" s="364">
        <f t="shared" si="9"/>
        <v>0</v>
      </c>
      <c r="T89" s="97">
        <f t="shared" si="10"/>
        <v>0</v>
      </c>
      <c r="U89" s="188">
        <v>0</v>
      </c>
      <c r="V89" s="364">
        <f t="shared" si="11"/>
        <v>0</v>
      </c>
      <c r="W89" s="97">
        <f t="shared" si="12"/>
        <v>0</v>
      </c>
      <c r="X89" s="71">
        <f>IFERROR(IF(INDEX(AC$14:AC$18,MATCH($E89,$AB$14:$AB$18,0))&lt;&gt;0,INDEX(AC$14:AC$18,MATCH($E89,$AB$14:$AB$18,0)),
IF($M89="Market",0,IF($L89="HUD FMR",INDEX('Data - Reference'!$B$31:$G$31,MATCH($E89,'Data - Reference'!$B$9:$G$9,0)),INDEX('Data - Reference'!$B$9:$G$31,MATCH($K89,'Data - Reference'!$B$9:$B$31,0),MATCH($E89,'Data - Reference'!$B$9:$G$9,0))))),0)</f>
        <v>0</v>
      </c>
      <c r="Y89" s="71">
        <f>IFERROR(IF(INDEX(AD$14:AD$18,MATCH($E89,$AB$14:$AB$18,0))&lt;&gt;0,INDEX(AD$14:AD$18,MATCH($E89,$AB$14:$AB$18,0)),
IF($K89="None - Market",0,-INDEX('Data - Reference'!$B$32:$G$32,MATCH($E89,'Data - Reference'!$B$9:$G$9,0)))),0)</f>
        <v>0</v>
      </c>
      <c r="Z89" s="74">
        <f t="shared" si="6"/>
        <v>0</v>
      </c>
      <c r="AA89" s="67">
        <f t="shared" si="13"/>
        <v>0</v>
      </c>
      <c r="AB89" s="97">
        <f t="shared" si="14"/>
        <v>0</v>
      </c>
      <c r="AC89" s="82">
        <f t="shared" si="5"/>
        <v>0</v>
      </c>
      <c r="AD89" s="83">
        <f t="shared" si="15"/>
        <v>0</v>
      </c>
      <c r="AE89" s="97">
        <f t="shared" si="16"/>
        <v>0</v>
      </c>
      <c r="AF89" s="415" t="str">
        <f t="shared" si="7"/>
        <v>NA</v>
      </c>
      <c r="AG89" s="420" t="str">
        <f t="shared" si="17"/>
        <v>NA</v>
      </c>
      <c r="AH89" s="420" t="str">
        <f t="shared" si="18"/>
        <v>NA</v>
      </c>
      <c r="AI89" s="417" t="str">
        <f t="shared" si="4"/>
        <v>NA</v>
      </c>
      <c r="AJ89" s="417" t="str">
        <f t="shared" si="19"/>
        <v>NA</v>
      </c>
      <c r="AK89" s="524" t="str">
        <f>IFERROR(INDEX('Legacy Resident Reference'!R:R,MATCH('Unit Summary - Rent Roll'!AJ89,'Legacy Resident Reference'!P:P,0)),"NA")</f>
        <v>NA</v>
      </c>
    </row>
    <row r="90" spans="2:37" ht="13.8" x14ac:dyDescent="0.3">
      <c r="B90" s="236">
        <v>64</v>
      </c>
      <c r="C90" s="580" t="s">
        <v>143</v>
      </c>
      <c r="D90" s="581"/>
      <c r="E90" s="186" t="s">
        <v>139</v>
      </c>
      <c r="F90" s="187">
        <v>0</v>
      </c>
      <c r="G90" s="239" t="s">
        <v>85</v>
      </c>
      <c r="H90" s="243">
        <v>0</v>
      </c>
      <c r="I90" s="373">
        <f t="shared" si="8"/>
        <v>0</v>
      </c>
      <c r="J90" s="250" t="s">
        <v>139</v>
      </c>
      <c r="K90" s="508" t="s">
        <v>139</v>
      </c>
      <c r="L90" s="399" t="s">
        <v>139</v>
      </c>
      <c r="M90" s="403">
        <v>0</v>
      </c>
      <c r="N90" s="282" t="s">
        <v>139</v>
      </c>
      <c r="O90" s="302" t="str">
        <f>IF(OR(M90=0,N90="NA"),"NA",IFERROR(INDEX('Data - Reference'!$B$37:$B$50,MATCH('Unit Summary - Rent Roll'!$M90,INDEX('Data - Reference'!$B$37:$J$50,,MATCH('Unit Summary - Rent Roll'!$N90,'Data - Reference'!$B$37:$J$37,0)),-1),1),"NA"))</f>
        <v>NA</v>
      </c>
      <c r="P90" s="239" t="s">
        <v>85</v>
      </c>
      <c r="Q90" s="239" t="s">
        <v>85</v>
      </c>
      <c r="R90" s="188">
        <v>0</v>
      </c>
      <c r="S90" s="364">
        <f t="shared" si="9"/>
        <v>0</v>
      </c>
      <c r="T90" s="97">
        <f t="shared" si="10"/>
        <v>0</v>
      </c>
      <c r="U90" s="188">
        <v>0</v>
      </c>
      <c r="V90" s="364">
        <f t="shared" si="11"/>
        <v>0</v>
      </c>
      <c r="W90" s="97">
        <f t="shared" si="12"/>
        <v>0</v>
      </c>
      <c r="X90" s="71">
        <f>IFERROR(IF(INDEX(AC$14:AC$18,MATCH($E90,$AB$14:$AB$18,0))&lt;&gt;0,INDEX(AC$14:AC$18,MATCH($E90,$AB$14:$AB$18,0)),
IF($M90="Market",0,IF($L90="HUD FMR",INDEX('Data - Reference'!$B$31:$G$31,MATCH($E90,'Data - Reference'!$B$9:$G$9,0)),INDEX('Data - Reference'!$B$9:$G$31,MATCH($K90,'Data - Reference'!$B$9:$B$31,0),MATCH($E90,'Data - Reference'!$B$9:$G$9,0))))),0)</f>
        <v>0</v>
      </c>
      <c r="Y90" s="71">
        <f>IFERROR(IF(INDEX(AD$14:AD$18,MATCH($E90,$AB$14:$AB$18,0))&lt;&gt;0,INDEX(AD$14:AD$18,MATCH($E90,$AB$14:$AB$18,0)),
IF($K90="None - Market",0,-INDEX('Data - Reference'!$B$32:$G$32,MATCH($E90,'Data - Reference'!$B$9:$G$9,0)))),0)</f>
        <v>0</v>
      </c>
      <c r="Z90" s="74">
        <f t="shared" si="6"/>
        <v>0</v>
      </c>
      <c r="AA90" s="67">
        <f t="shared" si="13"/>
        <v>0</v>
      </c>
      <c r="AB90" s="97">
        <f t="shared" si="14"/>
        <v>0</v>
      </c>
      <c r="AC90" s="82">
        <f t="shared" si="5"/>
        <v>0</v>
      </c>
      <c r="AD90" s="83">
        <f t="shared" si="15"/>
        <v>0</v>
      </c>
      <c r="AE90" s="97">
        <f t="shared" si="16"/>
        <v>0</v>
      </c>
      <c r="AF90" s="415" t="str">
        <f t="shared" si="7"/>
        <v>NA</v>
      </c>
      <c r="AG90" s="420" t="str">
        <f t="shared" si="17"/>
        <v>NA</v>
      </c>
      <c r="AH90" s="420" t="str">
        <f t="shared" si="18"/>
        <v>NA</v>
      </c>
      <c r="AI90" s="417" t="str">
        <f t="shared" si="4"/>
        <v>NA</v>
      </c>
      <c r="AJ90" s="417" t="str">
        <f t="shared" si="19"/>
        <v>NA</v>
      </c>
      <c r="AK90" s="524" t="str">
        <f>IFERROR(INDEX('Legacy Resident Reference'!R:R,MATCH('Unit Summary - Rent Roll'!AJ90,'Legacy Resident Reference'!P:P,0)),"NA")</f>
        <v>NA</v>
      </c>
    </row>
    <row r="91" spans="2:37" ht="13.8" x14ac:dyDescent="0.3">
      <c r="B91" s="236">
        <v>65</v>
      </c>
      <c r="C91" s="580" t="s">
        <v>143</v>
      </c>
      <c r="D91" s="581"/>
      <c r="E91" s="186" t="s">
        <v>139</v>
      </c>
      <c r="F91" s="187">
        <v>0</v>
      </c>
      <c r="G91" s="239" t="s">
        <v>85</v>
      </c>
      <c r="H91" s="243">
        <v>0</v>
      </c>
      <c r="I91" s="373">
        <f t="shared" si="8"/>
        <v>0</v>
      </c>
      <c r="J91" s="250" t="s">
        <v>139</v>
      </c>
      <c r="K91" s="508" t="s">
        <v>139</v>
      </c>
      <c r="L91" s="399" t="s">
        <v>139</v>
      </c>
      <c r="M91" s="403">
        <v>0</v>
      </c>
      <c r="N91" s="282" t="s">
        <v>139</v>
      </c>
      <c r="O91" s="302" t="str">
        <f>IF(OR(M91=0,N91="NA"),"NA",IFERROR(INDEX('Data - Reference'!$B$37:$B$50,MATCH('Unit Summary - Rent Roll'!$M91,INDEX('Data - Reference'!$B$37:$J$50,,MATCH('Unit Summary - Rent Roll'!$N91,'Data - Reference'!$B$37:$J$37,0)),-1),1),"NA"))</f>
        <v>NA</v>
      </c>
      <c r="P91" s="239" t="s">
        <v>85</v>
      </c>
      <c r="Q91" s="239" t="s">
        <v>85</v>
      </c>
      <c r="R91" s="188">
        <v>0</v>
      </c>
      <c r="S91" s="364">
        <f t="shared" si="9"/>
        <v>0</v>
      </c>
      <c r="T91" s="97">
        <f t="shared" si="10"/>
        <v>0</v>
      </c>
      <c r="U91" s="188">
        <v>0</v>
      </c>
      <c r="V91" s="364">
        <f t="shared" si="11"/>
        <v>0</v>
      </c>
      <c r="W91" s="97">
        <f t="shared" si="12"/>
        <v>0</v>
      </c>
      <c r="X91" s="71">
        <f>IFERROR(IF(INDEX(AC$14:AC$18,MATCH($E91,$AB$14:$AB$18,0))&lt;&gt;0,INDEX(AC$14:AC$18,MATCH($E91,$AB$14:$AB$18,0)),
IF($M91="Market",0,IF($L91="HUD FMR",INDEX('Data - Reference'!$B$31:$G$31,MATCH($E91,'Data - Reference'!$B$9:$G$9,0)),INDEX('Data - Reference'!$B$9:$G$31,MATCH($K91,'Data - Reference'!$B$9:$B$31,0),MATCH($E91,'Data - Reference'!$B$9:$G$9,0))))),0)</f>
        <v>0</v>
      </c>
      <c r="Y91" s="71">
        <f>IFERROR(IF(INDEX(AD$14:AD$18,MATCH($E91,$AB$14:$AB$18,0))&lt;&gt;0,INDEX(AD$14:AD$18,MATCH($E91,$AB$14:$AB$18,0)),
IF($K91="None - Market",0,-INDEX('Data - Reference'!$B$32:$G$32,MATCH($E91,'Data - Reference'!$B$9:$G$9,0)))),0)</f>
        <v>0</v>
      </c>
      <c r="Z91" s="74">
        <f t="shared" si="6"/>
        <v>0</v>
      </c>
      <c r="AA91" s="67">
        <f t="shared" si="13"/>
        <v>0</v>
      </c>
      <c r="AB91" s="97">
        <f t="shared" si="14"/>
        <v>0</v>
      </c>
      <c r="AC91" s="82">
        <f t="shared" si="5"/>
        <v>0</v>
      </c>
      <c r="AD91" s="83">
        <f t="shared" si="15"/>
        <v>0</v>
      </c>
      <c r="AE91" s="97">
        <f t="shared" si="16"/>
        <v>0</v>
      </c>
      <c r="AF91" s="415" t="str">
        <f t="shared" si="7"/>
        <v>NA</v>
      </c>
      <c r="AG91" s="420" t="str">
        <f t="shared" si="17"/>
        <v>NA</v>
      </c>
      <c r="AH91" s="420" t="str">
        <f t="shared" si="18"/>
        <v>NA</v>
      </c>
      <c r="AI91" s="417" t="str">
        <f t="shared" si="4"/>
        <v>NA</v>
      </c>
      <c r="AJ91" s="417" t="str">
        <f t="shared" si="19"/>
        <v>NA</v>
      </c>
      <c r="AK91" s="524" t="str">
        <f>IFERROR(INDEX('Legacy Resident Reference'!R:R,MATCH('Unit Summary - Rent Roll'!AJ91,'Legacy Resident Reference'!P:P,0)),"NA")</f>
        <v>NA</v>
      </c>
    </row>
    <row r="92" spans="2:37" ht="13.8" x14ac:dyDescent="0.3">
      <c r="B92" s="236">
        <v>66</v>
      </c>
      <c r="C92" s="580" t="s">
        <v>143</v>
      </c>
      <c r="D92" s="581"/>
      <c r="E92" s="186" t="s">
        <v>139</v>
      </c>
      <c r="F92" s="187">
        <v>0</v>
      </c>
      <c r="G92" s="239" t="s">
        <v>85</v>
      </c>
      <c r="H92" s="243">
        <v>0</v>
      </c>
      <c r="I92" s="373">
        <f t="shared" si="8"/>
        <v>0</v>
      </c>
      <c r="J92" s="250" t="s">
        <v>139</v>
      </c>
      <c r="K92" s="508" t="s">
        <v>139</v>
      </c>
      <c r="L92" s="399" t="s">
        <v>139</v>
      </c>
      <c r="M92" s="403">
        <v>0</v>
      </c>
      <c r="N92" s="282" t="s">
        <v>139</v>
      </c>
      <c r="O92" s="302" t="str">
        <f>IF(OR(M92=0,N92="NA"),"NA",IFERROR(INDEX('Data - Reference'!$B$37:$B$50,MATCH('Unit Summary - Rent Roll'!$M92,INDEX('Data - Reference'!$B$37:$J$50,,MATCH('Unit Summary - Rent Roll'!$N92,'Data - Reference'!$B$37:$J$37,0)),-1),1),"NA"))</f>
        <v>NA</v>
      </c>
      <c r="P92" s="239" t="s">
        <v>85</v>
      </c>
      <c r="Q92" s="239" t="s">
        <v>85</v>
      </c>
      <c r="R92" s="188">
        <v>0</v>
      </c>
      <c r="S92" s="364">
        <f t="shared" si="9"/>
        <v>0</v>
      </c>
      <c r="T92" s="97">
        <f t="shared" si="10"/>
        <v>0</v>
      </c>
      <c r="U92" s="188">
        <v>0</v>
      </c>
      <c r="V92" s="364">
        <f t="shared" si="11"/>
        <v>0</v>
      </c>
      <c r="W92" s="97">
        <f t="shared" si="12"/>
        <v>0</v>
      </c>
      <c r="X92" s="71">
        <f>IFERROR(IF(INDEX(AC$14:AC$18,MATCH($E92,$AB$14:$AB$18,0))&lt;&gt;0,INDEX(AC$14:AC$18,MATCH($E92,$AB$14:$AB$18,0)),
IF($M92="Market",0,IF($L92="HUD FMR",INDEX('Data - Reference'!$B$31:$G$31,MATCH($E92,'Data - Reference'!$B$9:$G$9,0)),INDEX('Data - Reference'!$B$9:$G$31,MATCH($K92,'Data - Reference'!$B$9:$B$31,0),MATCH($E92,'Data - Reference'!$B$9:$G$9,0))))),0)</f>
        <v>0</v>
      </c>
      <c r="Y92" s="71">
        <f>IFERROR(IF(INDEX(AD$14:AD$18,MATCH($E92,$AB$14:$AB$18,0))&lt;&gt;0,INDEX(AD$14:AD$18,MATCH($E92,$AB$14:$AB$18,0)),
IF($K92="None - Market",0,-INDEX('Data - Reference'!$B$32:$G$32,MATCH($E92,'Data - Reference'!$B$9:$G$9,0)))),0)</f>
        <v>0</v>
      </c>
      <c r="Z92" s="74">
        <f t="shared" ref="Z92:Z155" si="20">ROUND(SUM(X92:Y92),0)</f>
        <v>0</v>
      </c>
      <c r="AA92" s="67">
        <f t="shared" si="13"/>
        <v>0</v>
      </c>
      <c r="AB92" s="97">
        <f t="shared" si="14"/>
        <v>0</v>
      </c>
      <c r="AC92" s="82">
        <f t="shared" si="5"/>
        <v>0</v>
      </c>
      <c r="AD92" s="83">
        <f t="shared" si="15"/>
        <v>0</v>
      </c>
      <c r="AE92" s="97">
        <f t="shared" si="16"/>
        <v>0</v>
      </c>
      <c r="AF92" s="415" t="str">
        <f t="shared" ref="AF92:AF155" si="21">IFERROR(IF(J92="Market","NA",IF(U92=0,"NA",IF(U92&gt;Z92,"N","Y"))),"NA")</f>
        <v>NA</v>
      </c>
      <c r="AG92" s="420" t="str">
        <f t="shared" si="17"/>
        <v>NA</v>
      </c>
      <c r="AH92" s="420" t="str">
        <f t="shared" si="18"/>
        <v>NA</v>
      </c>
      <c r="AI92" s="417" t="str">
        <f t="shared" si="4"/>
        <v>NA</v>
      </c>
      <c r="AJ92" s="417" t="str">
        <f t="shared" si="19"/>
        <v>NA</v>
      </c>
      <c r="AK92" s="524" t="str">
        <f>IFERROR(INDEX('Legacy Resident Reference'!R:R,MATCH('Unit Summary - Rent Roll'!AJ92,'Legacy Resident Reference'!P:P,0)),"NA")</f>
        <v>NA</v>
      </c>
    </row>
    <row r="93" spans="2:37" ht="13.8" x14ac:dyDescent="0.3">
      <c r="B93" s="236">
        <v>67</v>
      </c>
      <c r="C93" s="580" t="s">
        <v>143</v>
      </c>
      <c r="D93" s="581"/>
      <c r="E93" s="186" t="s">
        <v>139</v>
      </c>
      <c r="F93" s="187">
        <v>0</v>
      </c>
      <c r="G93" s="239" t="s">
        <v>85</v>
      </c>
      <c r="H93" s="243">
        <v>0</v>
      </c>
      <c r="I93" s="373">
        <f t="shared" si="8"/>
        <v>0</v>
      </c>
      <c r="J93" s="250" t="s">
        <v>139</v>
      </c>
      <c r="K93" s="508" t="s">
        <v>139</v>
      </c>
      <c r="L93" s="399" t="s">
        <v>139</v>
      </c>
      <c r="M93" s="403">
        <v>0</v>
      </c>
      <c r="N93" s="282" t="s">
        <v>139</v>
      </c>
      <c r="O93" s="302" t="str">
        <f>IF(OR(M93=0,N93="NA"),"NA",IFERROR(INDEX('Data - Reference'!$B$37:$B$50,MATCH('Unit Summary - Rent Roll'!$M93,INDEX('Data - Reference'!$B$37:$J$50,,MATCH('Unit Summary - Rent Roll'!$N93,'Data - Reference'!$B$37:$J$37,0)),-1),1),"NA"))</f>
        <v>NA</v>
      </c>
      <c r="P93" s="239" t="s">
        <v>85</v>
      </c>
      <c r="Q93" s="239" t="s">
        <v>85</v>
      </c>
      <c r="R93" s="188">
        <v>0</v>
      </c>
      <c r="S93" s="364">
        <f t="shared" si="9"/>
        <v>0</v>
      </c>
      <c r="T93" s="97">
        <f t="shared" si="10"/>
        <v>0</v>
      </c>
      <c r="U93" s="188">
        <v>0</v>
      </c>
      <c r="V93" s="364">
        <f t="shared" si="11"/>
        <v>0</v>
      </c>
      <c r="W93" s="97">
        <f t="shared" si="12"/>
        <v>0</v>
      </c>
      <c r="X93" s="71">
        <f>IFERROR(IF(INDEX(AC$14:AC$18,MATCH($E93,$AB$14:$AB$18,0))&lt;&gt;0,INDEX(AC$14:AC$18,MATCH($E93,$AB$14:$AB$18,0)),
IF($M93="Market",0,IF($L93="HUD FMR",INDEX('Data - Reference'!$B$31:$G$31,MATCH($E93,'Data - Reference'!$B$9:$G$9,0)),INDEX('Data - Reference'!$B$9:$G$31,MATCH($K93,'Data - Reference'!$B$9:$B$31,0),MATCH($E93,'Data - Reference'!$B$9:$G$9,0))))),0)</f>
        <v>0</v>
      </c>
      <c r="Y93" s="71">
        <f>IFERROR(IF(INDEX(AD$14:AD$18,MATCH($E93,$AB$14:$AB$18,0))&lt;&gt;0,INDEX(AD$14:AD$18,MATCH($E93,$AB$14:$AB$18,0)),
IF($K93="None - Market",0,-INDEX('Data - Reference'!$B$32:$G$32,MATCH($E93,'Data - Reference'!$B$9:$G$9,0)))),0)</f>
        <v>0</v>
      </c>
      <c r="Z93" s="74">
        <f t="shared" si="20"/>
        <v>0</v>
      </c>
      <c r="AA93" s="67">
        <f t="shared" si="13"/>
        <v>0</v>
      </c>
      <c r="AB93" s="97">
        <f t="shared" si="14"/>
        <v>0</v>
      </c>
      <c r="AC93" s="82">
        <f t="shared" si="5"/>
        <v>0</v>
      </c>
      <c r="AD93" s="83">
        <f t="shared" si="15"/>
        <v>0</v>
      </c>
      <c r="AE93" s="97">
        <f t="shared" si="16"/>
        <v>0</v>
      </c>
      <c r="AF93" s="415" t="str">
        <f t="shared" si="21"/>
        <v>NA</v>
      </c>
      <c r="AG93" s="420" t="str">
        <f t="shared" si="17"/>
        <v>NA</v>
      </c>
      <c r="AH93" s="420" t="str">
        <f t="shared" si="18"/>
        <v>NA</v>
      </c>
      <c r="AI93" s="417" t="str">
        <f t="shared" si="4"/>
        <v>NA</v>
      </c>
      <c r="AJ93" s="417" t="str">
        <f t="shared" si="19"/>
        <v>NA</v>
      </c>
      <c r="AK93" s="524" t="str">
        <f>IFERROR(INDEX('Legacy Resident Reference'!R:R,MATCH('Unit Summary - Rent Roll'!AJ93,'Legacy Resident Reference'!P:P,0)),"NA")</f>
        <v>NA</v>
      </c>
    </row>
    <row r="94" spans="2:37" ht="13.8" x14ac:dyDescent="0.3">
      <c r="B94" s="236">
        <v>68</v>
      </c>
      <c r="C94" s="580" t="s">
        <v>143</v>
      </c>
      <c r="D94" s="581"/>
      <c r="E94" s="186" t="s">
        <v>139</v>
      </c>
      <c r="F94" s="187">
        <v>0</v>
      </c>
      <c r="G94" s="239" t="s">
        <v>85</v>
      </c>
      <c r="H94" s="243">
        <v>0</v>
      </c>
      <c r="I94" s="373">
        <f t="shared" si="8"/>
        <v>0</v>
      </c>
      <c r="J94" s="250" t="s">
        <v>139</v>
      </c>
      <c r="K94" s="508" t="s">
        <v>139</v>
      </c>
      <c r="L94" s="399" t="s">
        <v>139</v>
      </c>
      <c r="M94" s="403">
        <v>0</v>
      </c>
      <c r="N94" s="282" t="s">
        <v>139</v>
      </c>
      <c r="O94" s="302" t="str">
        <f>IF(OR(M94=0,N94="NA"),"NA",IFERROR(INDEX('Data - Reference'!$B$37:$B$50,MATCH('Unit Summary - Rent Roll'!$M94,INDEX('Data - Reference'!$B$37:$J$50,,MATCH('Unit Summary - Rent Roll'!$N94,'Data - Reference'!$B$37:$J$37,0)),-1),1),"NA"))</f>
        <v>NA</v>
      </c>
      <c r="P94" s="239" t="s">
        <v>85</v>
      </c>
      <c r="Q94" s="239" t="s">
        <v>85</v>
      </c>
      <c r="R94" s="188">
        <v>0</v>
      </c>
      <c r="S94" s="364">
        <f t="shared" si="9"/>
        <v>0</v>
      </c>
      <c r="T94" s="97">
        <f t="shared" si="10"/>
        <v>0</v>
      </c>
      <c r="U94" s="188">
        <v>0</v>
      </c>
      <c r="V94" s="364">
        <f t="shared" si="11"/>
        <v>0</v>
      </c>
      <c r="W94" s="97">
        <f t="shared" si="12"/>
        <v>0</v>
      </c>
      <c r="X94" s="71">
        <f>IFERROR(IF(INDEX(AC$14:AC$18,MATCH($E94,$AB$14:$AB$18,0))&lt;&gt;0,INDEX(AC$14:AC$18,MATCH($E94,$AB$14:$AB$18,0)),
IF($M94="Market",0,IF($L94="HUD FMR",INDEX('Data - Reference'!$B$31:$G$31,MATCH($E94,'Data - Reference'!$B$9:$G$9,0)),INDEX('Data - Reference'!$B$9:$G$31,MATCH($K94,'Data - Reference'!$B$9:$B$31,0),MATCH($E94,'Data - Reference'!$B$9:$G$9,0))))),0)</f>
        <v>0</v>
      </c>
      <c r="Y94" s="71">
        <f>IFERROR(IF(INDEX(AD$14:AD$18,MATCH($E94,$AB$14:$AB$18,0))&lt;&gt;0,INDEX(AD$14:AD$18,MATCH($E94,$AB$14:$AB$18,0)),
IF($K94="None - Market",0,-INDEX('Data - Reference'!$B$32:$G$32,MATCH($E94,'Data - Reference'!$B$9:$G$9,0)))),0)</f>
        <v>0</v>
      </c>
      <c r="Z94" s="74">
        <f t="shared" si="20"/>
        <v>0</v>
      </c>
      <c r="AA94" s="67">
        <f t="shared" si="13"/>
        <v>0</v>
      </c>
      <c r="AB94" s="97">
        <f t="shared" si="14"/>
        <v>0</v>
      </c>
      <c r="AC94" s="82">
        <f t="shared" si="5"/>
        <v>0</v>
      </c>
      <c r="AD94" s="83">
        <f t="shared" si="15"/>
        <v>0</v>
      </c>
      <c r="AE94" s="97">
        <f t="shared" si="16"/>
        <v>0</v>
      </c>
      <c r="AF94" s="415" t="str">
        <f t="shared" si="21"/>
        <v>NA</v>
      </c>
      <c r="AG94" s="420" t="str">
        <f t="shared" si="17"/>
        <v>NA</v>
      </c>
      <c r="AH94" s="420" t="str">
        <f t="shared" si="18"/>
        <v>NA</v>
      </c>
      <c r="AI94" s="417" t="str">
        <f t="shared" si="4"/>
        <v>NA</v>
      </c>
      <c r="AJ94" s="417" t="str">
        <f t="shared" si="19"/>
        <v>NA</v>
      </c>
      <c r="AK94" s="524" t="str">
        <f>IFERROR(INDEX('Legacy Resident Reference'!R:R,MATCH('Unit Summary - Rent Roll'!AJ94,'Legacy Resident Reference'!P:P,0)),"NA")</f>
        <v>NA</v>
      </c>
    </row>
    <row r="95" spans="2:37" ht="13.8" x14ac:dyDescent="0.3">
      <c r="B95" s="236">
        <v>69</v>
      </c>
      <c r="C95" s="580" t="s">
        <v>143</v>
      </c>
      <c r="D95" s="581"/>
      <c r="E95" s="186" t="s">
        <v>139</v>
      </c>
      <c r="F95" s="187">
        <v>0</v>
      </c>
      <c r="G95" s="239" t="s">
        <v>85</v>
      </c>
      <c r="H95" s="243">
        <v>0</v>
      </c>
      <c r="I95" s="373">
        <f t="shared" si="8"/>
        <v>0</v>
      </c>
      <c r="J95" s="250" t="s">
        <v>139</v>
      </c>
      <c r="K95" s="508" t="s">
        <v>139</v>
      </c>
      <c r="L95" s="399" t="s">
        <v>139</v>
      </c>
      <c r="M95" s="403">
        <v>0</v>
      </c>
      <c r="N95" s="282" t="s">
        <v>139</v>
      </c>
      <c r="O95" s="302" t="str">
        <f>IF(OR(M95=0,N95="NA"),"NA",IFERROR(INDEX('Data - Reference'!$B$37:$B$50,MATCH('Unit Summary - Rent Roll'!$M95,INDEX('Data - Reference'!$B$37:$J$50,,MATCH('Unit Summary - Rent Roll'!$N95,'Data - Reference'!$B$37:$J$37,0)),-1),1),"NA"))</f>
        <v>NA</v>
      </c>
      <c r="P95" s="239" t="s">
        <v>85</v>
      </c>
      <c r="Q95" s="239" t="s">
        <v>85</v>
      </c>
      <c r="R95" s="188">
        <v>0</v>
      </c>
      <c r="S95" s="364">
        <f t="shared" si="9"/>
        <v>0</v>
      </c>
      <c r="T95" s="97">
        <f t="shared" si="10"/>
        <v>0</v>
      </c>
      <c r="U95" s="188">
        <v>0</v>
      </c>
      <c r="V95" s="364">
        <f t="shared" si="11"/>
        <v>0</v>
      </c>
      <c r="W95" s="97">
        <f t="shared" si="12"/>
        <v>0</v>
      </c>
      <c r="X95" s="71">
        <f>IFERROR(IF(INDEX(AC$14:AC$18,MATCH($E95,$AB$14:$AB$18,0))&lt;&gt;0,INDEX(AC$14:AC$18,MATCH($E95,$AB$14:$AB$18,0)),
IF($M95="Market",0,IF($L95="HUD FMR",INDEX('Data - Reference'!$B$31:$G$31,MATCH($E95,'Data - Reference'!$B$9:$G$9,0)),INDEX('Data - Reference'!$B$9:$G$31,MATCH($K95,'Data - Reference'!$B$9:$B$31,0),MATCH($E95,'Data - Reference'!$B$9:$G$9,0))))),0)</f>
        <v>0</v>
      </c>
      <c r="Y95" s="71">
        <f>IFERROR(IF(INDEX(AD$14:AD$18,MATCH($E95,$AB$14:$AB$18,0))&lt;&gt;0,INDEX(AD$14:AD$18,MATCH($E95,$AB$14:$AB$18,0)),
IF($K95="None - Market",0,-INDEX('Data - Reference'!$B$32:$G$32,MATCH($E95,'Data - Reference'!$B$9:$G$9,0)))),0)</f>
        <v>0</v>
      </c>
      <c r="Z95" s="74">
        <f t="shared" si="20"/>
        <v>0</v>
      </c>
      <c r="AA95" s="67">
        <f t="shared" si="13"/>
        <v>0</v>
      </c>
      <c r="AB95" s="97">
        <f t="shared" si="14"/>
        <v>0</v>
      </c>
      <c r="AC95" s="82">
        <f t="shared" si="5"/>
        <v>0</v>
      </c>
      <c r="AD95" s="83">
        <f t="shared" si="15"/>
        <v>0</v>
      </c>
      <c r="AE95" s="97">
        <f t="shared" si="16"/>
        <v>0</v>
      </c>
      <c r="AF95" s="415" t="str">
        <f t="shared" si="21"/>
        <v>NA</v>
      </c>
      <c r="AG95" s="420" t="str">
        <f t="shared" si="17"/>
        <v>NA</v>
      </c>
      <c r="AH95" s="420" t="str">
        <f t="shared" si="18"/>
        <v>NA</v>
      </c>
      <c r="AI95" s="417" t="str">
        <f t="shared" si="4"/>
        <v>NA</v>
      </c>
      <c r="AJ95" s="417" t="str">
        <f t="shared" si="19"/>
        <v>NA</v>
      </c>
      <c r="AK95" s="524" t="str">
        <f>IFERROR(INDEX('Legacy Resident Reference'!R:R,MATCH('Unit Summary - Rent Roll'!AJ95,'Legacy Resident Reference'!P:P,0)),"NA")</f>
        <v>NA</v>
      </c>
    </row>
    <row r="96" spans="2:37" ht="13.8" x14ac:dyDescent="0.3">
      <c r="B96" s="236">
        <v>70</v>
      </c>
      <c r="C96" s="580" t="s">
        <v>143</v>
      </c>
      <c r="D96" s="581"/>
      <c r="E96" s="186" t="s">
        <v>139</v>
      </c>
      <c r="F96" s="187">
        <v>0</v>
      </c>
      <c r="G96" s="239" t="s">
        <v>85</v>
      </c>
      <c r="H96" s="243">
        <v>0</v>
      </c>
      <c r="I96" s="373">
        <f t="shared" ref="I96:I129" si="22">F96*H96</f>
        <v>0</v>
      </c>
      <c r="J96" s="250" t="s">
        <v>139</v>
      </c>
      <c r="K96" s="508" t="s">
        <v>139</v>
      </c>
      <c r="L96" s="399" t="s">
        <v>139</v>
      </c>
      <c r="M96" s="403">
        <v>0</v>
      </c>
      <c r="N96" s="282" t="s">
        <v>139</v>
      </c>
      <c r="O96" s="302" t="str">
        <f>IF(OR(M96=0,N96="NA"),"NA",IFERROR(INDEX('Data - Reference'!$B$37:$B$50,MATCH('Unit Summary - Rent Roll'!$M96,INDEX('Data - Reference'!$B$37:$J$50,,MATCH('Unit Summary - Rent Roll'!$N96,'Data - Reference'!$B$37:$J$37,0)),-1),1),"NA"))</f>
        <v>NA</v>
      </c>
      <c r="P96" s="239" t="s">
        <v>85</v>
      </c>
      <c r="Q96" s="239" t="s">
        <v>85</v>
      </c>
      <c r="R96" s="188">
        <v>0</v>
      </c>
      <c r="S96" s="364">
        <f t="shared" ref="S96:S129" si="23">IFERROR(R96/$F96,0)</f>
        <v>0</v>
      </c>
      <c r="T96" s="97">
        <f t="shared" ref="T96:T129" si="24">IF(G96="Y",R96*$H96*12,0)</f>
        <v>0</v>
      </c>
      <c r="U96" s="188">
        <v>0</v>
      </c>
      <c r="V96" s="364">
        <f t="shared" ref="V96:V129" si="25">IFERROR(U96/$F96,0)</f>
        <v>0</v>
      </c>
      <c r="W96" s="97">
        <f t="shared" ref="W96:W129" si="26">U96*$H96*12</f>
        <v>0</v>
      </c>
      <c r="X96" s="71">
        <f>IFERROR(IF(INDEX(AC$14:AC$18,MATCH($E96,$AB$14:$AB$18,0))&lt;&gt;0,INDEX(AC$14:AC$18,MATCH($E96,$AB$14:$AB$18,0)),
IF($M96="Market",0,IF($L96="HUD FMR",INDEX('Data - Reference'!$B$31:$G$31,MATCH($E96,'Data - Reference'!$B$9:$G$9,0)),INDEX('Data - Reference'!$B$9:$G$31,MATCH($K96,'Data - Reference'!$B$9:$B$31,0),MATCH($E96,'Data - Reference'!$B$9:$G$9,0))))),0)</f>
        <v>0</v>
      </c>
      <c r="Y96" s="71">
        <f>IFERROR(IF(INDEX(AD$14:AD$18,MATCH($E96,$AB$14:$AB$18,0))&lt;&gt;0,INDEX(AD$14:AD$18,MATCH($E96,$AB$14:$AB$18,0)),
IF($K96="None - Market",0,-INDEX('Data - Reference'!$B$32:$G$32,MATCH($E96,'Data - Reference'!$B$9:$G$9,0)))),0)</f>
        <v>0</v>
      </c>
      <c r="Z96" s="74">
        <f t="shared" si="20"/>
        <v>0</v>
      </c>
      <c r="AA96" s="67">
        <f t="shared" ref="AA96:AA129" si="27">IFERROR(Z96/$F96,0)</f>
        <v>0</v>
      </c>
      <c r="AB96" s="97">
        <f t="shared" ref="AB96:AB129" si="28">Z96*$H96*12</f>
        <v>0</v>
      </c>
      <c r="AC96" s="82">
        <f t="shared" si="5"/>
        <v>0</v>
      </c>
      <c r="AD96" s="83">
        <f t="shared" ref="AD96:AD129" si="29">IFERROR(AC96/$F96,0)</f>
        <v>0</v>
      </c>
      <c r="AE96" s="97">
        <f t="shared" ref="AE96:AE129" si="30">AC96*$H96*12</f>
        <v>0</v>
      </c>
      <c r="AF96" s="415" t="str">
        <f t="shared" si="21"/>
        <v>NA</v>
      </c>
      <c r="AG96" s="420" t="str">
        <f t="shared" ref="AG96:AG129" si="31">IFERROR(IF(AND(OR(AJ96="1a",AJ96="2a"),OR(AH96="Y",AI96="Y")),"Y",
IF(AND(OR(AJ96="1b",AJ96="2b"),AF96="Y"),"Y",
IF(AJ96="4","Y",
IF(AJ96="NA","NA",
"N")))),"NA")</f>
        <v>NA</v>
      </c>
      <c r="AH96" s="420" t="str">
        <f t="shared" ref="AH96:AH129" si="32">IFERROR(IF(OR(G96="N",AE96=0),"NA",
IF(M96=0,"Input Current Household Income",
IF(G96="Y",IF(OR(J96="PBV - Income-Restricted",J96="PBRA - Income-Restricted",(U96-Y96)&lt;=M96/12*0.3),"Y","N"),"NA"))),"NA")</f>
        <v>NA</v>
      </c>
      <c r="AI96" s="417" t="str">
        <f t="shared" si="4"/>
        <v>NA</v>
      </c>
      <c r="AJ96" s="417" t="str">
        <f t="shared" ref="AJ96:AJ129" si="33">IFERROR(IF(G96="N","NA",
(IF(AND(J96="Market",O96&gt;80%),"4",
IF(AND(O96&lt;=K96,O96&lt;=80%),"1a",
IF(AND(O96&lt;=K96,O96&gt;80%,O96&lt;=120%),"1b",
IF(AND(O96&gt;K96,O96&lt;=80%),"2a",
IF(AND(O96&gt;80%,O96&lt;=120%,O96-K96&lt;=20%),"2b",
IF(AND(O96&gt;80%,O96&lt;=120%,O96-K96&gt;20%),"3a",
IF(OR(M96=0,O96&gt;120%),"3b",
"Other"))))))))),"NA")</f>
        <v>NA</v>
      </c>
      <c r="AK96" s="524" t="str">
        <f>IFERROR(INDEX('Legacy Resident Reference'!R:R,MATCH('Unit Summary - Rent Roll'!AJ96,'Legacy Resident Reference'!P:P,0)),"NA")</f>
        <v>NA</v>
      </c>
    </row>
    <row r="97" spans="2:37" ht="13.8" x14ac:dyDescent="0.3">
      <c r="B97" s="236">
        <v>71</v>
      </c>
      <c r="C97" s="580" t="s">
        <v>143</v>
      </c>
      <c r="D97" s="581"/>
      <c r="E97" s="186" t="s">
        <v>139</v>
      </c>
      <c r="F97" s="187">
        <v>0</v>
      </c>
      <c r="G97" s="239" t="s">
        <v>85</v>
      </c>
      <c r="H97" s="243">
        <v>0</v>
      </c>
      <c r="I97" s="373">
        <f t="shared" si="22"/>
        <v>0</v>
      </c>
      <c r="J97" s="250" t="s">
        <v>139</v>
      </c>
      <c r="K97" s="508" t="s">
        <v>139</v>
      </c>
      <c r="L97" s="399" t="s">
        <v>139</v>
      </c>
      <c r="M97" s="403">
        <v>0</v>
      </c>
      <c r="N97" s="282" t="s">
        <v>139</v>
      </c>
      <c r="O97" s="302" t="str">
        <f>IF(OR(M97=0,N97="NA"),"NA",IFERROR(INDEX('Data - Reference'!$B$37:$B$50,MATCH('Unit Summary - Rent Roll'!$M97,INDEX('Data - Reference'!$B$37:$J$50,,MATCH('Unit Summary - Rent Roll'!$N97,'Data - Reference'!$B$37:$J$37,0)),-1),1),"NA"))</f>
        <v>NA</v>
      </c>
      <c r="P97" s="239" t="s">
        <v>85</v>
      </c>
      <c r="Q97" s="239" t="s">
        <v>85</v>
      </c>
      <c r="R97" s="188">
        <v>0</v>
      </c>
      <c r="S97" s="364">
        <f t="shared" si="23"/>
        <v>0</v>
      </c>
      <c r="T97" s="97">
        <f t="shared" si="24"/>
        <v>0</v>
      </c>
      <c r="U97" s="188">
        <v>0</v>
      </c>
      <c r="V97" s="364">
        <f t="shared" si="25"/>
        <v>0</v>
      </c>
      <c r="W97" s="97">
        <f t="shared" si="26"/>
        <v>0</v>
      </c>
      <c r="X97" s="71">
        <f>IFERROR(IF(INDEX(AC$14:AC$18,MATCH($E97,$AB$14:$AB$18,0))&lt;&gt;0,INDEX(AC$14:AC$18,MATCH($E97,$AB$14:$AB$18,0)),
IF($M97="Market",0,IF($L97="HUD FMR",INDEX('Data - Reference'!$B$31:$G$31,MATCH($E97,'Data - Reference'!$B$9:$G$9,0)),INDEX('Data - Reference'!$B$9:$G$31,MATCH($K97,'Data - Reference'!$B$9:$B$31,0),MATCH($E97,'Data - Reference'!$B$9:$G$9,0))))),0)</f>
        <v>0</v>
      </c>
      <c r="Y97" s="71">
        <f>IFERROR(IF(INDEX(AD$14:AD$18,MATCH($E97,$AB$14:$AB$18,0))&lt;&gt;0,INDEX(AD$14:AD$18,MATCH($E97,$AB$14:$AB$18,0)),
IF($K97="None - Market",0,-INDEX('Data - Reference'!$B$32:$G$32,MATCH($E97,'Data - Reference'!$B$9:$G$9,0)))),0)</f>
        <v>0</v>
      </c>
      <c r="Z97" s="74">
        <f t="shared" si="20"/>
        <v>0</v>
      </c>
      <c r="AA97" s="67">
        <f t="shared" si="27"/>
        <v>0</v>
      </c>
      <c r="AB97" s="97">
        <f t="shared" si="28"/>
        <v>0</v>
      </c>
      <c r="AC97" s="82">
        <f t="shared" si="5"/>
        <v>0</v>
      </c>
      <c r="AD97" s="83">
        <f t="shared" si="29"/>
        <v>0</v>
      </c>
      <c r="AE97" s="97">
        <f t="shared" si="30"/>
        <v>0</v>
      </c>
      <c r="AF97" s="415" t="str">
        <f t="shared" si="21"/>
        <v>NA</v>
      </c>
      <c r="AG97" s="420" t="str">
        <f t="shared" si="31"/>
        <v>NA</v>
      </c>
      <c r="AH97" s="420" t="str">
        <f t="shared" si="32"/>
        <v>NA</v>
      </c>
      <c r="AI97" s="417" t="str">
        <f t="shared" si="4"/>
        <v>NA</v>
      </c>
      <c r="AJ97" s="417" t="str">
        <f t="shared" si="33"/>
        <v>NA</v>
      </c>
      <c r="AK97" s="524" t="str">
        <f>IFERROR(INDEX('Legacy Resident Reference'!R:R,MATCH('Unit Summary - Rent Roll'!AJ97,'Legacy Resident Reference'!P:P,0)),"NA")</f>
        <v>NA</v>
      </c>
    </row>
    <row r="98" spans="2:37" ht="13.8" x14ac:dyDescent="0.3">
      <c r="B98" s="236">
        <v>72</v>
      </c>
      <c r="C98" s="580" t="s">
        <v>143</v>
      </c>
      <c r="D98" s="581"/>
      <c r="E98" s="186" t="s">
        <v>139</v>
      </c>
      <c r="F98" s="187">
        <v>0</v>
      </c>
      <c r="G98" s="239" t="s">
        <v>85</v>
      </c>
      <c r="H98" s="243">
        <v>0</v>
      </c>
      <c r="I98" s="373">
        <f t="shared" si="22"/>
        <v>0</v>
      </c>
      <c r="J98" s="250" t="s">
        <v>139</v>
      </c>
      <c r="K98" s="508" t="s">
        <v>139</v>
      </c>
      <c r="L98" s="399" t="s">
        <v>139</v>
      </c>
      <c r="M98" s="403">
        <v>0</v>
      </c>
      <c r="N98" s="282" t="s">
        <v>139</v>
      </c>
      <c r="O98" s="302" t="str">
        <f>IF(OR(M98=0,N98="NA"),"NA",IFERROR(INDEX('Data - Reference'!$B$37:$B$50,MATCH('Unit Summary - Rent Roll'!$M98,INDEX('Data - Reference'!$B$37:$J$50,,MATCH('Unit Summary - Rent Roll'!$N98,'Data - Reference'!$B$37:$J$37,0)),-1),1),"NA"))</f>
        <v>NA</v>
      </c>
      <c r="P98" s="239" t="s">
        <v>85</v>
      </c>
      <c r="Q98" s="239" t="s">
        <v>85</v>
      </c>
      <c r="R98" s="188">
        <v>0</v>
      </c>
      <c r="S98" s="364">
        <f t="shared" si="23"/>
        <v>0</v>
      </c>
      <c r="T98" s="97">
        <f t="shared" si="24"/>
        <v>0</v>
      </c>
      <c r="U98" s="188">
        <v>0</v>
      </c>
      <c r="V98" s="364">
        <f t="shared" si="25"/>
        <v>0</v>
      </c>
      <c r="W98" s="97">
        <f t="shared" si="26"/>
        <v>0</v>
      </c>
      <c r="X98" s="71">
        <f>IFERROR(IF(INDEX(AC$14:AC$18,MATCH($E98,$AB$14:$AB$18,0))&lt;&gt;0,INDEX(AC$14:AC$18,MATCH($E98,$AB$14:$AB$18,0)),
IF($M98="Market",0,IF($L98="HUD FMR",INDEX('Data - Reference'!$B$31:$G$31,MATCH($E98,'Data - Reference'!$B$9:$G$9,0)),INDEX('Data - Reference'!$B$9:$G$31,MATCH($K98,'Data - Reference'!$B$9:$B$31,0),MATCH($E98,'Data - Reference'!$B$9:$G$9,0))))),0)</f>
        <v>0</v>
      </c>
      <c r="Y98" s="71">
        <f>IFERROR(IF(INDEX(AD$14:AD$18,MATCH($E98,$AB$14:$AB$18,0))&lt;&gt;0,INDEX(AD$14:AD$18,MATCH($E98,$AB$14:$AB$18,0)),
IF($K98="None - Market",0,-INDEX('Data - Reference'!$B$32:$G$32,MATCH($E98,'Data - Reference'!$B$9:$G$9,0)))),0)</f>
        <v>0</v>
      </c>
      <c r="Z98" s="74">
        <f t="shared" si="20"/>
        <v>0</v>
      </c>
      <c r="AA98" s="67">
        <f t="shared" si="27"/>
        <v>0</v>
      </c>
      <c r="AB98" s="97">
        <f t="shared" si="28"/>
        <v>0</v>
      </c>
      <c r="AC98" s="82">
        <f t="shared" si="5"/>
        <v>0</v>
      </c>
      <c r="AD98" s="83">
        <f t="shared" si="29"/>
        <v>0</v>
      </c>
      <c r="AE98" s="97">
        <f t="shared" si="30"/>
        <v>0</v>
      </c>
      <c r="AF98" s="415" t="str">
        <f t="shared" si="21"/>
        <v>NA</v>
      </c>
      <c r="AG98" s="420" t="str">
        <f t="shared" si="31"/>
        <v>NA</v>
      </c>
      <c r="AH98" s="420" t="str">
        <f t="shared" si="32"/>
        <v>NA</v>
      </c>
      <c r="AI98" s="417" t="str">
        <f t="shared" si="4"/>
        <v>NA</v>
      </c>
      <c r="AJ98" s="417" t="str">
        <f t="shared" si="33"/>
        <v>NA</v>
      </c>
      <c r="AK98" s="524" t="str">
        <f>IFERROR(INDEX('Legacy Resident Reference'!R:R,MATCH('Unit Summary - Rent Roll'!AJ98,'Legacy Resident Reference'!P:P,0)),"NA")</f>
        <v>NA</v>
      </c>
    </row>
    <row r="99" spans="2:37" ht="13.8" x14ac:dyDescent="0.3">
      <c r="B99" s="236">
        <v>73</v>
      </c>
      <c r="C99" s="580" t="s">
        <v>143</v>
      </c>
      <c r="D99" s="581"/>
      <c r="E99" s="186" t="s">
        <v>139</v>
      </c>
      <c r="F99" s="187">
        <v>0</v>
      </c>
      <c r="G99" s="239" t="s">
        <v>85</v>
      </c>
      <c r="H99" s="243">
        <v>0</v>
      </c>
      <c r="I99" s="373">
        <f t="shared" si="22"/>
        <v>0</v>
      </c>
      <c r="J99" s="250" t="s">
        <v>139</v>
      </c>
      <c r="K99" s="508" t="s">
        <v>139</v>
      </c>
      <c r="L99" s="399" t="s">
        <v>139</v>
      </c>
      <c r="M99" s="403">
        <v>0</v>
      </c>
      <c r="N99" s="282" t="s">
        <v>139</v>
      </c>
      <c r="O99" s="302" t="str">
        <f>IF(OR(M99=0,N99="NA"),"NA",IFERROR(INDEX('Data - Reference'!$B$37:$B$50,MATCH('Unit Summary - Rent Roll'!$M99,INDEX('Data - Reference'!$B$37:$J$50,,MATCH('Unit Summary - Rent Roll'!$N99,'Data - Reference'!$B$37:$J$37,0)),-1),1),"NA"))</f>
        <v>NA</v>
      </c>
      <c r="P99" s="239" t="s">
        <v>85</v>
      </c>
      <c r="Q99" s="239" t="s">
        <v>85</v>
      </c>
      <c r="R99" s="188">
        <v>0</v>
      </c>
      <c r="S99" s="364">
        <f t="shared" si="23"/>
        <v>0</v>
      </c>
      <c r="T99" s="97">
        <f t="shared" si="24"/>
        <v>0</v>
      </c>
      <c r="U99" s="188">
        <v>0</v>
      </c>
      <c r="V99" s="364">
        <f t="shared" si="25"/>
        <v>0</v>
      </c>
      <c r="W99" s="97">
        <f t="shared" si="26"/>
        <v>0</v>
      </c>
      <c r="X99" s="71">
        <f>IFERROR(IF(INDEX(AC$14:AC$18,MATCH($E99,$AB$14:$AB$18,0))&lt;&gt;0,INDEX(AC$14:AC$18,MATCH($E99,$AB$14:$AB$18,0)),
IF($M99="Market",0,IF($L99="HUD FMR",INDEX('Data - Reference'!$B$31:$G$31,MATCH($E99,'Data - Reference'!$B$9:$G$9,0)),INDEX('Data - Reference'!$B$9:$G$31,MATCH($K99,'Data - Reference'!$B$9:$B$31,0),MATCH($E99,'Data - Reference'!$B$9:$G$9,0))))),0)</f>
        <v>0</v>
      </c>
      <c r="Y99" s="71">
        <f>IFERROR(IF(INDEX(AD$14:AD$18,MATCH($E99,$AB$14:$AB$18,0))&lt;&gt;0,INDEX(AD$14:AD$18,MATCH($E99,$AB$14:$AB$18,0)),
IF($K99="None - Market",0,-INDEX('Data - Reference'!$B$32:$G$32,MATCH($E99,'Data - Reference'!$B$9:$G$9,0)))),0)</f>
        <v>0</v>
      </c>
      <c r="Z99" s="74">
        <f t="shared" si="20"/>
        <v>0</v>
      </c>
      <c r="AA99" s="67">
        <f t="shared" si="27"/>
        <v>0</v>
      </c>
      <c r="AB99" s="97">
        <f t="shared" si="28"/>
        <v>0</v>
      </c>
      <c r="AC99" s="82">
        <f t="shared" si="5"/>
        <v>0</v>
      </c>
      <c r="AD99" s="83">
        <f t="shared" si="29"/>
        <v>0</v>
      </c>
      <c r="AE99" s="97">
        <f t="shared" si="30"/>
        <v>0</v>
      </c>
      <c r="AF99" s="415" t="str">
        <f t="shared" si="21"/>
        <v>NA</v>
      </c>
      <c r="AG99" s="420" t="str">
        <f t="shared" si="31"/>
        <v>NA</v>
      </c>
      <c r="AH99" s="420" t="str">
        <f t="shared" si="32"/>
        <v>NA</v>
      </c>
      <c r="AI99" s="417" t="str">
        <f t="shared" si="4"/>
        <v>NA</v>
      </c>
      <c r="AJ99" s="417" t="str">
        <f t="shared" si="33"/>
        <v>NA</v>
      </c>
      <c r="AK99" s="524" t="str">
        <f>IFERROR(INDEX('Legacy Resident Reference'!R:R,MATCH('Unit Summary - Rent Roll'!AJ99,'Legacy Resident Reference'!P:P,0)),"NA")</f>
        <v>NA</v>
      </c>
    </row>
    <row r="100" spans="2:37" ht="13.8" x14ac:dyDescent="0.3">
      <c r="B100" s="236">
        <v>74</v>
      </c>
      <c r="C100" s="580" t="s">
        <v>143</v>
      </c>
      <c r="D100" s="581"/>
      <c r="E100" s="186" t="s">
        <v>139</v>
      </c>
      <c r="F100" s="187">
        <v>0</v>
      </c>
      <c r="G100" s="239" t="s">
        <v>85</v>
      </c>
      <c r="H100" s="243">
        <v>0</v>
      </c>
      <c r="I100" s="373">
        <f t="shared" si="22"/>
        <v>0</v>
      </c>
      <c r="J100" s="250" t="s">
        <v>139</v>
      </c>
      <c r="K100" s="508" t="s">
        <v>139</v>
      </c>
      <c r="L100" s="399" t="s">
        <v>139</v>
      </c>
      <c r="M100" s="403">
        <v>0</v>
      </c>
      <c r="N100" s="282" t="s">
        <v>139</v>
      </c>
      <c r="O100" s="302" t="str">
        <f>IF(OR(M100=0,N100="NA"),"NA",IFERROR(INDEX('Data - Reference'!$B$37:$B$50,MATCH('Unit Summary - Rent Roll'!$M100,INDEX('Data - Reference'!$B$37:$J$50,,MATCH('Unit Summary - Rent Roll'!$N100,'Data - Reference'!$B$37:$J$37,0)),-1),1),"NA"))</f>
        <v>NA</v>
      </c>
      <c r="P100" s="239" t="s">
        <v>85</v>
      </c>
      <c r="Q100" s="239" t="s">
        <v>85</v>
      </c>
      <c r="R100" s="188">
        <v>0</v>
      </c>
      <c r="S100" s="364">
        <f t="shared" si="23"/>
        <v>0</v>
      </c>
      <c r="T100" s="97">
        <f t="shared" si="24"/>
        <v>0</v>
      </c>
      <c r="U100" s="188">
        <v>0</v>
      </c>
      <c r="V100" s="364">
        <f t="shared" si="25"/>
        <v>0</v>
      </c>
      <c r="W100" s="97">
        <f t="shared" si="26"/>
        <v>0</v>
      </c>
      <c r="X100" s="71">
        <f>IFERROR(IF(INDEX(AC$14:AC$18,MATCH($E100,$AB$14:$AB$18,0))&lt;&gt;0,INDEX(AC$14:AC$18,MATCH($E100,$AB$14:$AB$18,0)),
IF($M100="Market",0,IF($L100="HUD FMR",INDEX('Data - Reference'!$B$31:$G$31,MATCH($E100,'Data - Reference'!$B$9:$G$9,0)),INDEX('Data - Reference'!$B$9:$G$31,MATCH($K100,'Data - Reference'!$B$9:$B$31,0),MATCH($E100,'Data - Reference'!$B$9:$G$9,0))))),0)</f>
        <v>0</v>
      </c>
      <c r="Y100" s="71">
        <f>IFERROR(IF(INDEX(AD$14:AD$18,MATCH($E100,$AB$14:$AB$18,0))&lt;&gt;0,INDEX(AD$14:AD$18,MATCH($E100,$AB$14:$AB$18,0)),
IF($K100="None - Market",0,-INDEX('Data - Reference'!$B$32:$G$32,MATCH($E100,'Data - Reference'!$B$9:$G$9,0)))),0)</f>
        <v>0</v>
      </c>
      <c r="Z100" s="74">
        <f t="shared" si="20"/>
        <v>0</v>
      </c>
      <c r="AA100" s="67">
        <f t="shared" si="27"/>
        <v>0</v>
      </c>
      <c r="AB100" s="97">
        <f t="shared" si="28"/>
        <v>0</v>
      </c>
      <c r="AC100" s="82">
        <f t="shared" si="5"/>
        <v>0</v>
      </c>
      <c r="AD100" s="83">
        <f t="shared" si="29"/>
        <v>0</v>
      </c>
      <c r="AE100" s="97">
        <f t="shared" si="30"/>
        <v>0</v>
      </c>
      <c r="AF100" s="415" t="str">
        <f t="shared" si="21"/>
        <v>NA</v>
      </c>
      <c r="AG100" s="420" t="str">
        <f t="shared" si="31"/>
        <v>NA</v>
      </c>
      <c r="AH100" s="420" t="str">
        <f t="shared" si="32"/>
        <v>NA</v>
      </c>
      <c r="AI100" s="417" t="str">
        <f t="shared" si="4"/>
        <v>NA</v>
      </c>
      <c r="AJ100" s="417" t="str">
        <f t="shared" si="33"/>
        <v>NA</v>
      </c>
      <c r="AK100" s="524" t="str">
        <f>IFERROR(INDEX('Legacy Resident Reference'!R:R,MATCH('Unit Summary - Rent Roll'!AJ100,'Legacy Resident Reference'!P:P,0)),"NA")</f>
        <v>NA</v>
      </c>
    </row>
    <row r="101" spans="2:37" ht="13.8" x14ac:dyDescent="0.3">
      <c r="B101" s="236">
        <v>75</v>
      </c>
      <c r="C101" s="580" t="s">
        <v>143</v>
      </c>
      <c r="D101" s="581"/>
      <c r="E101" s="186" t="s">
        <v>139</v>
      </c>
      <c r="F101" s="187">
        <v>0</v>
      </c>
      <c r="G101" s="239" t="s">
        <v>85</v>
      </c>
      <c r="H101" s="243">
        <v>0</v>
      </c>
      <c r="I101" s="373">
        <f t="shared" si="22"/>
        <v>0</v>
      </c>
      <c r="J101" s="250" t="s">
        <v>139</v>
      </c>
      <c r="K101" s="508" t="s">
        <v>139</v>
      </c>
      <c r="L101" s="399" t="s">
        <v>139</v>
      </c>
      <c r="M101" s="403">
        <v>0</v>
      </c>
      <c r="N101" s="282" t="s">
        <v>139</v>
      </c>
      <c r="O101" s="302" t="str">
        <f>IF(OR(M101=0,N101="NA"),"NA",IFERROR(INDEX('Data - Reference'!$B$37:$B$50,MATCH('Unit Summary - Rent Roll'!$M101,INDEX('Data - Reference'!$B$37:$J$50,,MATCH('Unit Summary - Rent Roll'!$N101,'Data - Reference'!$B$37:$J$37,0)),-1),1),"NA"))</f>
        <v>NA</v>
      </c>
      <c r="P101" s="239" t="s">
        <v>85</v>
      </c>
      <c r="Q101" s="239" t="s">
        <v>85</v>
      </c>
      <c r="R101" s="188">
        <v>0</v>
      </c>
      <c r="S101" s="364">
        <f t="shared" si="23"/>
        <v>0</v>
      </c>
      <c r="T101" s="97">
        <f t="shared" si="24"/>
        <v>0</v>
      </c>
      <c r="U101" s="188">
        <v>0</v>
      </c>
      <c r="V101" s="364">
        <f t="shared" si="25"/>
        <v>0</v>
      </c>
      <c r="W101" s="97">
        <f t="shared" si="26"/>
        <v>0</v>
      </c>
      <c r="X101" s="71">
        <f>IFERROR(IF(INDEX(AC$14:AC$18,MATCH($E101,$AB$14:$AB$18,0))&lt;&gt;0,INDEX(AC$14:AC$18,MATCH($E101,$AB$14:$AB$18,0)),
IF($M101="Market",0,IF($L101="HUD FMR",INDEX('Data - Reference'!$B$31:$G$31,MATCH($E101,'Data - Reference'!$B$9:$G$9,0)),INDEX('Data - Reference'!$B$9:$G$31,MATCH($K101,'Data - Reference'!$B$9:$B$31,0),MATCH($E101,'Data - Reference'!$B$9:$G$9,0))))),0)</f>
        <v>0</v>
      </c>
      <c r="Y101" s="71">
        <f>IFERROR(IF(INDEX(AD$14:AD$18,MATCH($E101,$AB$14:$AB$18,0))&lt;&gt;0,INDEX(AD$14:AD$18,MATCH($E101,$AB$14:$AB$18,0)),
IF($K101="None - Market",0,-INDEX('Data - Reference'!$B$32:$G$32,MATCH($E101,'Data - Reference'!$B$9:$G$9,0)))),0)</f>
        <v>0</v>
      </c>
      <c r="Z101" s="74">
        <f t="shared" si="20"/>
        <v>0</v>
      </c>
      <c r="AA101" s="67">
        <f t="shared" si="27"/>
        <v>0</v>
      </c>
      <c r="AB101" s="97">
        <f t="shared" si="28"/>
        <v>0</v>
      </c>
      <c r="AC101" s="82">
        <f t="shared" si="5"/>
        <v>0</v>
      </c>
      <c r="AD101" s="83">
        <f t="shared" si="29"/>
        <v>0</v>
      </c>
      <c r="AE101" s="97">
        <f t="shared" si="30"/>
        <v>0</v>
      </c>
      <c r="AF101" s="415" t="str">
        <f t="shared" si="21"/>
        <v>NA</v>
      </c>
      <c r="AG101" s="420" t="str">
        <f t="shared" si="31"/>
        <v>NA</v>
      </c>
      <c r="AH101" s="420" t="str">
        <f t="shared" si="32"/>
        <v>NA</v>
      </c>
      <c r="AI101" s="417" t="str">
        <f t="shared" si="4"/>
        <v>NA</v>
      </c>
      <c r="AJ101" s="417" t="str">
        <f t="shared" si="33"/>
        <v>NA</v>
      </c>
      <c r="AK101" s="524" t="str">
        <f>IFERROR(INDEX('Legacy Resident Reference'!R:R,MATCH('Unit Summary - Rent Roll'!AJ101,'Legacy Resident Reference'!P:P,0)),"NA")</f>
        <v>NA</v>
      </c>
    </row>
    <row r="102" spans="2:37" ht="13.8" x14ac:dyDescent="0.3">
      <c r="B102" s="236">
        <v>76</v>
      </c>
      <c r="C102" s="580" t="s">
        <v>143</v>
      </c>
      <c r="D102" s="581"/>
      <c r="E102" s="186" t="s">
        <v>139</v>
      </c>
      <c r="F102" s="187">
        <v>0</v>
      </c>
      <c r="G102" s="239" t="s">
        <v>85</v>
      </c>
      <c r="H102" s="243">
        <v>0</v>
      </c>
      <c r="I102" s="373">
        <f t="shared" si="22"/>
        <v>0</v>
      </c>
      <c r="J102" s="250" t="s">
        <v>139</v>
      </c>
      <c r="K102" s="508" t="s">
        <v>139</v>
      </c>
      <c r="L102" s="399" t="s">
        <v>139</v>
      </c>
      <c r="M102" s="403">
        <v>0</v>
      </c>
      <c r="N102" s="282" t="s">
        <v>139</v>
      </c>
      <c r="O102" s="302" t="str">
        <f>IF(OR(M102=0,N102="NA"),"NA",IFERROR(INDEX('Data - Reference'!$B$37:$B$50,MATCH('Unit Summary - Rent Roll'!$M102,INDEX('Data - Reference'!$B$37:$J$50,,MATCH('Unit Summary - Rent Roll'!$N102,'Data - Reference'!$B$37:$J$37,0)),-1),1),"NA"))</f>
        <v>NA</v>
      </c>
      <c r="P102" s="239" t="s">
        <v>85</v>
      </c>
      <c r="Q102" s="239" t="s">
        <v>85</v>
      </c>
      <c r="R102" s="188">
        <v>0</v>
      </c>
      <c r="S102" s="364">
        <f t="shared" si="23"/>
        <v>0</v>
      </c>
      <c r="T102" s="97">
        <f t="shared" si="24"/>
        <v>0</v>
      </c>
      <c r="U102" s="188">
        <v>0</v>
      </c>
      <c r="V102" s="364">
        <f t="shared" si="25"/>
        <v>0</v>
      </c>
      <c r="W102" s="97">
        <f t="shared" si="26"/>
        <v>0</v>
      </c>
      <c r="X102" s="71">
        <f>IFERROR(IF(INDEX(AC$14:AC$18,MATCH($E102,$AB$14:$AB$18,0))&lt;&gt;0,INDEX(AC$14:AC$18,MATCH($E102,$AB$14:$AB$18,0)),
IF($M102="Market",0,IF($L102="HUD FMR",INDEX('Data - Reference'!$B$31:$G$31,MATCH($E102,'Data - Reference'!$B$9:$G$9,0)),INDEX('Data - Reference'!$B$9:$G$31,MATCH($K102,'Data - Reference'!$B$9:$B$31,0),MATCH($E102,'Data - Reference'!$B$9:$G$9,0))))),0)</f>
        <v>0</v>
      </c>
      <c r="Y102" s="71">
        <f>IFERROR(IF(INDEX(AD$14:AD$18,MATCH($E102,$AB$14:$AB$18,0))&lt;&gt;0,INDEX(AD$14:AD$18,MATCH($E102,$AB$14:$AB$18,0)),
IF($K102="None - Market",0,-INDEX('Data - Reference'!$B$32:$G$32,MATCH($E102,'Data - Reference'!$B$9:$G$9,0)))),0)</f>
        <v>0</v>
      </c>
      <c r="Z102" s="74">
        <f t="shared" si="20"/>
        <v>0</v>
      </c>
      <c r="AA102" s="67">
        <f t="shared" si="27"/>
        <v>0</v>
      </c>
      <c r="AB102" s="97">
        <f t="shared" si="28"/>
        <v>0</v>
      </c>
      <c r="AC102" s="82">
        <f t="shared" si="5"/>
        <v>0</v>
      </c>
      <c r="AD102" s="83">
        <f t="shared" si="29"/>
        <v>0</v>
      </c>
      <c r="AE102" s="97">
        <f t="shared" si="30"/>
        <v>0</v>
      </c>
      <c r="AF102" s="415" t="str">
        <f t="shared" si="21"/>
        <v>NA</v>
      </c>
      <c r="AG102" s="420" t="str">
        <f t="shared" si="31"/>
        <v>NA</v>
      </c>
      <c r="AH102" s="420" t="str">
        <f t="shared" si="32"/>
        <v>NA</v>
      </c>
      <c r="AI102" s="417" t="str">
        <f t="shared" si="4"/>
        <v>NA</v>
      </c>
      <c r="AJ102" s="417" t="str">
        <f t="shared" si="33"/>
        <v>NA</v>
      </c>
      <c r="AK102" s="524" t="str">
        <f>IFERROR(INDEX('Legacy Resident Reference'!R:R,MATCH('Unit Summary - Rent Roll'!AJ102,'Legacy Resident Reference'!P:P,0)),"NA")</f>
        <v>NA</v>
      </c>
    </row>
    <row r="103" spans="2:37" ht="13.8" x14ac:dyDescent="0.3">
      <c r="B103" s="236">
        <v>77</v>
      </c>
      <c r="C103" s="580" t="s">
        <v>143</v>
      </c>
      <c r="D103" s="581"/>
      <c r="E103" s="186" t="s">
        <v>139</v>
      </c>
      <c r="F103" s="187">
        <v>0</v>
      </c>
      <c r="G103" s="239" t="s">
        <v>85</v>
      </c>
      <c r="H103" s="243">
        <v>0</v>
      </c>
      <c r="I103" s="373">
        <f t="shared" si="22"/>
        <v>0</v>
      </c>
      <c r="J103" s="250" t="s">
        <v>139</v>
      </c>
      <c r="K103" s="508" t="s">
        <v>139</v>
      </c>
      <c r="L103" s="399" t="s">
        <v>139</v>
      </c>
      <c r="M103" s="403">
        <v>0</v>
      </c>
      <c r="N103" s="282" t="s">
        <v>139</v>
      </c>
      <c r="O103" s="302" t="str">
        <f>IF(OR(M103=0,N103="NA"),"NA",IFERROR(INDEX('Data - Reference'!$B$37:$B$50,MATCH('Unit Summary - Rent Roll'!$M103,INDEX('Data - Reference'!$B$37:$J$50,,MATCH('Unit Summary - Rent Roll'!$N103,'Data - Reference'!$B$37:$J$37,0)),-1),1),"NA"))</f>
        <v>NA</v>
      </c>
      <c r="P103" s="239" t="s">
        <v>85</v>
      </c>
      <c r="Q103" s="239" t="s">
        <v>85</v>
      </c>
      <c r="R103" s="188">
        <v>0</v>
      </c>
      <c r="S103" s="364">
        <f t="shared" si="23"/>
        <v>0</v>
      </c>
      <c r="T103" s="97">
        <f t="shared" si="24"/>
        <v>0</v>
      </c>
      <c r="U103" s="188">
        <v>0</v>
      </c>
      <c r="V103" s="364">
        <f t="shared" si="25"/>
        <v>0</v>
      </c>
      <c r="W103" s="97">
        <f t="shared" si="26"/>
        <v>0</v>
      </c>
      <c r="X103" s="71">
        <f>IFERROR(IF(INDEX(AC$14:AC$18,MATCH($E103,$AB$14:$AB$18,0))&lt;&gt;0,INDEX(AC$14:AC$18,MATCH($E103,$AB$14:$AB$18,0)),
IF($M103="Market",0,IF($L103="HUD FMR",INDEX('Data - Reference'!$B$31:$G$31,MATCH($E103,'Data - Reference'!$B$9:$G$9,0)),INDEX('Data - Reference'!$B$9:$G$31,MATCH($K103,'Data - Reference'!$B$9:$B$31,0),MATCH($E103,'Data - Reference'!$B$9:$G$9,0))))),0)</f>
        <v>0</v>
      </c>
      <c r="Y103" s="71">
        <f>IFERROR(IF(INDEX(AD$14:AD$18,MATCH($E103,$AB$14:$AB$18,0))&lt;&gt;0,INDEX(AD$14:AD$18,MATCH($E103,$AB$14:$AB$18,0)),
IF($K103="None - Market",0,-INDEX('Data - Reference'!$B$32:$G$32,MATCH($E103,'Data - Reference'!$B$9:$G$9,0)))),0)</f>
        <v>0</v>
      </c>
      <c r="Z103" s="74">
        <f t="shared" si="20"/>
        <v>0</v>
      </c>
      <c r="AA103" s="67">
        <f t="shared" si="27"/>
        <v>0</v>
      </c>
      <c r="AB103" s="97">
        <f t="shared" si="28"/>
        <v>0</v>
      </c>
      <c r="AC103" s="82">
        <f t="shared" si="5"/>
        <v>0</v>
      </c>
      <c r="AD103" s="83">
        <f t="shared" si="29"/>
        <v>0</v>
      </c>
      <c r="AE103" s="97">
        <f t="shared" si="30"/>
        <v>0</v>
      </c>
      <c r="AF103" s="415" t="str">
        <f t="shared" si="21"/>
        <v>NA</v>
      </c>
      <c r="AG103" s="420" t="str">
        <f t="shared" si="31"/>
        <v>NA</v>
      </c>
      <c r="AH103" s="420" t="str">
        <f t="shared" si="32"/>
        <v>NA</v>
      </c>
      <c r="AI103" s="417" t="str">
        <f t="shared" si="4"/>
        <v>NA</v>
      </c>
      <c r="AJ103" s="417" t="str">
        <f t="shared" si="33"/>
        <v>NA</v>
      </c>
      <c r="AK103" s="524" t="str">
        <f>IFERROR(INDEX('Legacy Resident Reference'!R:R,MATCH('Unit Summary - Rent Roll'!AJ103,'Legacy Resident Reference'!P:P,0)),"NA")</f>
        <v>NA</v>
      </c>
    </row>
    <row r="104" spans="2:37" ht="13.8" x14ac:dyDescent="0.3">
      <c r="B104" s="236">
        <v>78</v>
      </c>
      <c r="C104" s="580" t="s">
        <v>143</v>
      </c>
      <c r="D104" s="581"/>
      <c r="E104" s="186" t="s">
        <v>139</v>
      </c>
      <c r="F104" s="187">
        <v>0</v>
      </c>
      <c r="G104" s="239" t="s">
        <v>85</v>
      </c>
      <c r="H104" s="243">
        <v>0</v>
      </c>
      <c r="I104" s="373">
        <f t="shared" si="22"/>
        <v>0</v>
      </c>
      <c r="J104" s="250" t="s">
        <v>139</v>
      </c>
      <c r="K104" s="508" t="s">
        <v>139</v>
      </c>
      <c r="L104" s="399" t="s">
        <v>139</v>
      </c>
      <c r="M104" s="403">
        <v>0</v>
      </c>
      <c r="N104" s="282" t="s">
        <v>139</v>
      </c>
      <c r="O104" s="302" t="str">
        <f>IF(OR(M104=0,N104="NA"),"NA",IFERROR(INDEX('Data - Reference'!$B$37:$B$50,MATCH('Unit Summary - Rent Roll'!$M104,INDEX('Data - Reference'!$B$37:$J$50,,MATCH('Unit Summary - Rent Roll'!$N104,'Data - Reference'!$B$37:$J$37,0)),-1),1),"NA"))</f>
        <v>NA</v>
      </c>
      <c r="P104" s="239" t="s">
        <v>85</v>
      </c>
      <c r="Q104" s="239" t="s">
        <v>85</v>
      </c>
      <c r="R104" s="188">
        <v>0</v>
      </c>
      <c r="S104" s="364">
        <f t="shared" si="23"/>
        <v>0</v>
      </c>
      <c r="T104" s="97">
        <f t="shared" si="24"/>
        <v>0</v>
      </c>
      <c r="U104" s="188">
        <v>0</v>
      </c>
      <c r="V104" s="364">
        <f t="shared" si="25"/>
        <v>0</v>
      </c>
      <c r="W104" s="97">
        <f t="shared" si="26"/>
        <v>0</v>
      </c>
      <c r="X104" s="71">
        <f>IFERROR(IF(INDEX(AC$14:AC$18,MATCH($E104,$AB$14:$AB$18,0))&lt;&gt;0,INDEX(AC$14:AC$18,MATCH($E104,$AB$14:$AB$18,0)),
IF($M104="Market",0,IF($L104="HUD FMR",INDEX('Data - Reference'!$B$31:$G$31,MATCH($E104,'Data - Reference'!$B$9:$G$9,0)),INDEX('Data - Reference'!$B$9:$G$31,MATCH($K104,'Data - Reference'!$B$9:$B$31,0),MATCH($E104,'Data - Reference'!$B$9:$G$9,0))))),0)</f>
        <v>0</v>
      </c>
      <c r="Y104" s="71">
        <f>IFERROR(IF(INDEX(AD$14:AD$18,MATCH($E104,$AB$14:$AB$18,0))&lt;&gt;0,INDEX(AD$14:AD$18,MATCH($E104,$AB$14:$AB$18,0)),
IF($K104="None - Market",0,-INDEX('Data - Reference'!$B$32:$G$32,MATCH($E104,'Data - Reference'!$B$9:$G$9,0)))),0)</f>
        <v>0</v>
      </c>
      <c r="Z104" s="74">
        <f t="shared" si="20"/>
        <v>0</v>
      </c>
      <c r="AA104" s="67">
        <f t="shared" si="27"/>
        <v>0</v>
      </c>
      <c r="AB104" s="97">
        <f t="shared" si="28"/>
        <v>0</v>
      </c>
      <c r="AC104" s="82">
        <f t="shared" si="5"/>
        <v>0</v>
      </c>
      <c r="AD104" s="83">
        <f t="shared" si="29"/>
        <v>0</v>
      </c>
      <c r="AE104" s="97">
        <f t="shared" si="30"/>
        <v>0</v>
      </c>
      <c r="AF104" s="415" t="str">
        <f t="shared" si="21"/>
        <v>NA</v>
      </c>
      <c r="AG104" s="420" t="str">
        <f t="shared" si="31"/>
        <v>NA</v>
      </c>
      <c r="AH104" s="420" t="str">
        <f t="shared" si="32"/>
        <v>NA</v>
      </c>
      <c r="AI104" s="417" t="str">
        <f t="shared" si="4"/>
        <v>NA</v>
      </c>
      <c r="AJ104" s="417" t="str">
        <f t="shared" si="33"/>
        <v>NA</v>
      </c>
      <c r="AK104" s="524" t="str">
        <f>IFERROR(INDEX('Legacy Resident Reference'!R:R,MATCH('Unit Summary - Rent Roll'!AJ104,'Legacy Resident Reference'!P:P,0)),"NA")</f>
        <v>NA</v>
      </c>
    </row>
    <row r="105" spans="2:37" ht="13.8" x14ac:dyDescent="0.3">
      <c r="B105" s="236">
        <v>79</v>
      </c>
      <c r="C105" s="580" t="s">
        <v>143</v>
      </c>
      <c r="D105" s="581"/>
      <c r="E105" s="186" t="s">
        <v>139</v>
      </c>
      <c r="F105" s="187">
        <v>0</v>
      </c>
      <c r="G105" s="239" t="s">
        <v>85</v>
      </c>
      <c r="H105" s="243">
        <v>0</v>
      </c>
      <c r="I105" s="373">
        <f t="shared" si="22"/>
        <v>0</v>
      </c>
      <c r="J105" s="250" t="s">
        <v>139</v>
      </c>
      <c r="K105" s="508" t="s">
        <v>139</v>
      </c>
      <c r="L105" s="399" t="s">
        <v>139</v>
      </c>
      <c r="M105" s="403">
        <v>0</v>
      </c>
      <c r="N105" s="282" t="s">
        <v>139</v>
      </c>
      <c r="O105" s="302" t="str">
        <f>IF(OR(M105=0,N105="NA"),"NA",IFERROR(INDEX('Data - Reference'!$B$37:$B$50,MATCH('Unit Summary - Rent Roll'!$M105,INDEX('Data - Reference'!$B$37:$J$50,,MATCH('Unit Summary - Rent Roll'!$N105,'Data - Reference'!$B$37:$J$37,0)),-1),1),"NA"))</f>
        <v>NA</v>
      </c>
      <c r="P105" s="239" t="s">
        <v>85</v>
      </c>
      <c r="Q105" s="239" t="s">
        <v>85</v>
      </c>
      <c r="R105" s="188">
        <v>0</v>
      </c>
      <c r="S105" s="364">
        <f t="shared" si="23"/>
        <v>0</v>
      </c>
      <c r="T105" s="97">
        <f t="shared" si="24"/>
        <v>0</v>
      </c>
      <c r="U105" s="188">
        <v>0</v>
      </c>
      <c r="V105" s="364">
        <f t="shared" si="25"/>
        <v>0</v>
      </c>
      <c r="W105" s="97">
        <f t="shared" si="26"/>
        <v>0</v>
      </c>
      <c r="X105" s="71">
        <f>IFERROR(IF(INDEX(AC$14:AC$18,MATCH($E105,$AB$14:$AB$18,0))&lt;&gt;0,INDEX(AC$14:AC$18,MATCH($E105,$AB$14:$AB$18,0)),
IF($M105="Market",0,IF($L105="HUD FMR",INDEX('Data - Reference'!$B$31:$G$31,MATCH($E105,'Data - Reference'!$B$9:$G$9,0)),INDEX('Data - Reference'!$B$9:$G$31,MATCH($K105,'Data - Reference'!$B$9:$B$31,0),MATCH($E105,'Data - Reference'!$B$9:$G$9,0))))),0)</f>
        <v>0</v>
      </c>
      <c r="Y105" s="71">
        <f>IFERROR(IF(INDEX(AD$14:AD$18,MATCH($E105,$AB$14:$AB$18,0))&lt;&gt;0,INDEX(AD$14:AD$18,MATCH($E105,$AB$14:$AB$18,0)),
IF($K105="None - Market",0,-INDEX('Data - Reference'!$B$32:$G$32,MATCH($E105,'Data - Reference'!$B$9:$G$9,0)))),0)</f>
        <v>0</v>
      </c>
      <c r="Z105" s="74">
        <f t="shared" si="20"/>
        <v>0</v>
      </c>
      <c r="AA105" s="67">
        <f t="shared" si="27"/>
        <v>0</v>
      </c>
      <c r="AB105" s="97">
        <f t="shared" si="28"/>
        <v>0</v>
      </c>
      <c r="AC105" s="82">
        <f t="shared" si="5"/>
        <v>0</v>
      </c>
      <c r="AD105" s="83">
        <f t="shared" si="29"/>
        <v>0</v>
      </c>
      <c r="AE105" s="97">
        <f t="shared" si="30"/>
        <v>0</v>
      </c>
      <c r="AF105" s="415" t="str">
        <f t="shared" si="21"/>
        <v>NA</v>
      </c>
      <c r="AG105" s="420" t="str">
        <f t="shared" si="31"/>
        <v>NA</v>
      </c>
      <c r="AH105" s="420" t="str">
        <f t="shared" si="32"/>
        <v>NA</v>
      </c>
      <c r="AI105" s="417" t="str">
        <f t="shared" si="4"/>
        <v>NA</v>
      </c>
      <c r="AJ105" s="417" t="str">
        <f t="shared" si="33"/>
        <v>NA</v>
      </c>
      <c r="AK105" s="524" t="str">
        <f>IFERROR(INDEX('Legacy Resident Reference'!R:R,MATCH('Unit Summary - Rent Roll'!AJ105,'Legacy Resident Reference'!P:P,0)),"NA")</f>
        <v>NA</v>
      </c>
    </row>
    <row r="106" spans="2:37" ht="13.8" x14ac:dyDescent="0.3">
      <c r="B106" s="236">
        <v>80</v>
      </c>
      <c r="C106" s="580" t="s">
        <v>143</v>
      </c>
      <c r="D106" s="581"/>
      <c r="E106" s="186" t="s">
        <v>139</v>
      </c>
      <c r="F106" s="187">
        <v>0</v>
      </c>
      <c r="G106" s="239" t="s">
        <v>85</v>
      </c>
      <c r="H106" s="243">
        <v>0</v>
      </c>
      <c r="I106" s="373">
        <f t="shared" si="22"/>
        <v>0</v>
      </c>
      <c r="J106" s="250" t="s">
        <v>139</v>
      </c>
      <c r="K106" s="508" t="s">
        <v>139</v>
      </c>
      <c r="L106" s="399" t="s">
        <v>139</v>
      </c>
      <c r="M106" s="403">
        <v>0</v>
      </c>
      <c r="N106" s="282" t="s">
        <v>139</v>
      </c>
      <c r="O106" s="302" t="str">
        <f>IF(OR(M106=0,N106="NA"),"NA",IFERROR(INDEX('Data - Reference'!$B$37:$B$50,MATCH('Unit Summary - Rent Roll'!$M106,INDEX('Data - Reference'!$B$37:$J$50,,MATCH('Unit Summary - Rent Roll'!$N106,'Data - Reference'!$B$37:$J$37,0)),-1),1),"NA"))</f>
        <v>NA</v>
      </c>
      <c r="P106" s="239" t="s">
        <v>85</v>
      </c>
      <c r="Q106" s="239" t="s">
        <v>85</v>
      </c>
      <c r="R106" s="188">
        <v>0</v>
      </c>
      <c r="S106" s="364">
        <f t="shared" si="23"/>
        <v>0</v>
      </c>
      <c r="T106" s="97">
        <f t="shared" si="24"/>
        <v>0</v>
      </c>
      <c r="U106" s="188">
        <v>0</v>
      </c>
      <c r="V106" s="364">
        <f t="shared" si="25"/>
        <v>0</v>
      </c>
      <c r="W106" s="97">
        <f t="shared" si="26"/>
        <v>0</v>
      </c>
      <c r="X106" s="71">
        <f>IFERROR(IF(INDEX(AC$14:AC$18,MATCH($E106,$AB$14:$AB$18,0))&lt;&gt;0,INDEX(AC$14:AC$18,MATCH($E106,$AB$14:$AB$18,0)),
IF($M106="Market",0,IF($L106="HUD FMR",INDEX('Data - Reference'!$B$31:$G$31,MATCH($E106,'Data - Reference'!$B$9:$G$9,0)),INDEX('Data - Reference'!$B$9:$G$31,MATCH($K106,'Data - Reference'!$B$9:$B$31,0),MATCH($E106,'Data - Reference'!$B$9:$G$9,0))))),0)</f>
        <v>0</v>
      </c>
      <c r="Y106" s="71">
        <f>IFERROR(IF(INDEX(AD$14:AD$18,MATCH($E106,$AB$14:$AB$18,0))&lt;&gt;0,INDEX(AD$14:AD$18,MATCH($E106,$AB$14:$AB$18,0)),
IF($K106="None - Market",0,-INDEX('Data - Reference'!$B$32:$G$32,MATCH($E106,'Data - Reference'!$B$9:$G$9,0)))),0)</f>
        <v>0</v>
      </c>
      <c r="Z106" s="74">
        <f t="shared" si="20"/>
        <v>0</v>
      </c>
      <c r="AA106" s="67">
        <f t="shared" si="27"/>
        <v>0</v>
      </c>
      <c r="AB106" s="97">
        <f t="shared" si="28"/>
        <v>0</v>
      </c>
      <c r="AC106" s="82">
        <f t="shared" si="5"/>
        <v>0</v>
      </c>
      <c r="AD106" s="83">
        <f t="shared" si="29"/>
        <v>0</v>
      </c>
      <c r="AE106" s="97">
        <f t="shared" si="30"/>
        <v>0</v>
      </c>
      <c r="AF106" s="415" t="str">
        <f t="shared" si="21"/>
        <v>NA</v>
      </c>
      <c r="AG106" s="420" t="str">
        <f t="shared" si="31"/>
        <v>NA</v>
      </c>
      <c r="AH106" s="420" t="str">
        <f t="shared" si="32"/>
        <v>NA</v>
      </c>
      <c r="AI106" s="417" t="str">
        <f t="shared" si="4"/>
        <v>NA</v>
      </c>
      <c r="AJ106" s="417" t="str">
        <f t="shared" si="33"/>
        <v>NA</v>
      </c>
      <c r="AK106" s="524" t="str">
        <f>IFERROR(INDEX('Legacy Resident Reference'!R:R,MATCH('Unit Summary - Rent Roll'!AJ106,'Legacy Resident Reference'!P:P,0)),"NA")</f>
        <v>NA</v>
      </c>
    </row>
    <row r="107" spans="2:37" ht="13.8" x14ac:dyDescent="0.3">
      <c r="B107" s="236">
        <v>81</v>
      </c>
      <c r="C107" s="580" t="s">
        <v>143</v>
      </c>
      <c r="D107" s="581"/>
      <c r="E107" s="186" t="s">
        <v>139</v>
      </c>
      <c r="F107" s="187">
        <v>0</v>
      </c>
      <c r="G107" s="239" t="s">
        <v>85</v>
      </c>
      <c r="H107" s="243">
        <v>0</v>
      </c>
      <c r="I107" s="373">
        <f t="shared" si="22"/>
        <v>0</v>
      </c>
      <c r="J107" s="250" t="s">
        <v>139</v>
      </c>
      <c r="K107" s="508" t="s">
        <v>139</v>
      </c>
      <c r="L107" s="399" t="s">
        <v>139</v>
      </c>
      <c r="M107" s="403">
        <v>0</v>
      </c>
      <c r="N107" s="282" t="s">
        <v>139</v>
      </c>
      <c r="O107" s="302" t="str">
        <f>IF(OR(M107=0,N107="NA"),"NA",IFERROR(INDEX('Data - Reference'!$B$37:$B$50,MATCH('Unit Summary - Rent Roll'!$M107,INDEX('Data - Reference'!$B$37:$J$50,,MATCH('Unit Summary - Rent Roll'!$N107,'Data - Reference'!$B$37:$J$37,0)),-1),1),"NA"))</f>
        <v>NA</v>
      </c>
      <c r="P107" s="239" t="s">
        <v>85</v>
      </c>
      <c r="Q107" s="239" t="s">
        <v>85</v>
      </c>
      <c r="R107" s="188">
        <v>0</v>
      </c>
      <c r="S107" s="364">
        <f t="shared" si="23"/>
        <v>0</v>
      </c>
      <c r="T107" s="97">
        <f t="shared" si="24"/>
        <v>0</v>
      </c>
      <c r="U107" s="188">
        <v>0</v>
      </c>
      <c r="V107" s="364">
        <f t="shared" si="25"/>
        <v>0</v>
      </c>
      <c r="W107" s="97">
        <f t="shared" si="26"/>
        <v>0</v>
      </c>
      <c r="X107" s="71">
        <f>IFERROR(IF(INDEX(AC$14:AC$18,MATCH($E107,$AB$14:$AB$18,0))&lt;&gt;0,INDEX(AC$14:AC$18,MATCH($E107,$AB$14:$AB$18,0)),
IF($M107="Market",0,IF($L107="HUD FMR",INDEX('Data - Reference'!$B$31:$G$31,MATCH($E107,'Data - Reference'!$B$9:$G$9,0)),INDEX('Data - Reference'!$B$9:$G$31,MATCH($K107,'Data - Reference'!$B$9:$B$31,0),MATCH($E107,'Data - Reference'!$B$9:$G$9,0))))),0)</f>
        <v>0</v>
      </c>
      <c r="Y107" s="71">
        <f>IFERROR(IF(INDEX(AD$14:AD$18,MATCH($E107,$AB$14:$AB$18,0))&lt;&gt;0,INDEX(AD$14:AD$18,MATCH($E107,$AB$14:$AB$18,0)),
IF($K107="None - Market",0,-INDEX('Data - Reference'!$B$32:$G$32,MATCH($E107,'Data - Reference'!$B$9:$G$9,0)))),0)</f>
        <v>0</v>
      </c>
      <c r="Z107" s="74">
        <f t="shared" si="20"/>
        <v>0</v>
      </c>
      <c r="AA107" s="67">
        <f t="shared" si="27"/>
        <v>0</v>
      </c>
      <c r="AB107" s="97">
        <f t="shared" si="28"/>
        <v>0</v>
      </c>
      <c r="AC107" s="82">
        <f t="shared" si="5"/>
        <v>0</v>
      </c>
      <c r="AD107" s="83">
        <f t="shared" si="29"/>
        <v>0</v>
      </c>
      <c r="AE107" s="97">
        <f t="shared" si="30"/>
        <v>0</v>
      </c>
      <c r="AF107" s="415" t="str">
        <f t="shared" si="21"/>
        <v>NA</v>
      </c>
      <c r="AG107" s="420" t="str">
        <f t="shared" si="31"/>
        <v>NA</v>
      </c>
      <c r="AH107" s="420" t="str">
        <f t="shared" si="32"/>
        <v>NA</v>
      </c>
      <c r="AI107" s="417" t="str">
        <f t="shared" si="4"/>
        <v>NA</v>
      </c>
      <c r="AJ107" s="417" t="str">
        <f t="shared" si="33"/>
        <v>NA</v>
      </c>
      <c r="AK107" s="524" t="str">
        <f>IFERROR(INDEX('Legacy Resident Reference'!R:R,MATCH('Unit Summary - Rent Roll'!AJ107,'Legacy Resident Reference'!P:P,0)),"NA")</f>
        <v>NA</v>
      </c>
    </row>
    <row r="108" spans="2:37" ht="13.8" x14ac:dyDescent="0.3">
      <c r="B108" s="236">
        <v>82</v>
      </c>
      <c r="C108" s="580" t="s">
        <v>143</v>
      </c>
      <c r="D108" s="581"/>
      <c r="E108" s="186" t="s">
        <v>139</v>
      </c>
      <c r="F108" s="187">
        <v>0</v>
      </c>
      <c r="G108" s="239" t="s">
        <v>85</v>
      </c>
      <c r="H108" s="243">
        <v>0</v>
      </c>
      <c r="I108" s="373">
        <f t="shared" si="22"/>
        <v>0</v>
      </c>
      <c r="J108" s="250" t="s">
        <v>139</v>
      </c>
      <c r="K108" s="508" t="s">
        <v>139</v>
      </c>
      <c r="L108" s="399" t="s">
        <v>139</v>
      </c>
      <c r="M108" s="403">
        <v>0</v>
      </c>
      <c r="N108" s="282" t="s">
        <v>139</v>
      </c>
      <c r="O108" s="302" t="str">
        <f>IF(OR(M108=0,N108="NA"),"NA",IFERROR(INDEX('Data - Reference'!$B$37:$B$50,MATCH('Unit Summary - Rent Roll'!$M108,INDEX('Data - Reference'!$B$37:$J$50,,MATCH('Unit Summary - Rent Roll'!$N108,'Data - Reference'!$B$37:$J$37,0)),-1),1),"NA"))</f>
        <v>NA</v>
      </c>
      <c r="P108" s="239" t="s">
        <v>85</v>
      </c>
      <c r="Q108" s="239" t="s">
        <v>85</v>
      </c>
      <c r="R108" s="188">
        <v>0</v>
      </c>
      <c r="S108" s="364">
        <f t="shared" si="23"/>
        <v>0</v>
      </c>
      <c r="T108" s="97">
        <f t="shared" si="24"/>
        <v>0</v>
      </c>
      <c r="U108" s="188">
        <v>0</v>
      </c>
      <c r="V108" s="364">
        <f t="shared" si="25"/>
        <v>0</v>
      </c>
      <c r="W108" s="97">
        <f t="shared" si="26"/>
        <v>0</v>
      </c>
      <c r="X108" s="71">
        <f>IFERROR(IF(INDEX(AC$14:AC$18,MATCH($E108,$AB$14:$AB$18,0))&lt;&gt;0,INDEX(AC$14:AC$18,MATCH($E108,$AB$14:$AB$18,0)),
IF($M108="Market",0,IF($L108="HUD FMR",INDEX('Data - Reference'!$B$31:$G$31,MATCH($E108,'Data - Reference'!$B$9:$G$9,0)),INDEX('Data - Reference'!$B$9:$G$31,MATCH($K108,'Data - Reference'!$B$9:$B$31,0),MATCH($E108,'Data - Reference'!$B$9:$G$9,0))))),0)</f>
        <v>0</v>
      </c>
      <c r="Y108" s="71">
        <f>IFERROR(IF(INDEX(AD$14:AD$18,MATCH($E108,$AB$14:$AB$18,0))&lt;&gt;0,INDEX(AD$14:AD$18,MATCH($E108,$AB$14:$AB$18,0)),
IF($K108="None - Market",0,-INDEX('Data - Reference'!$B$32:$G$32,MATCH($E108,'Data - Reference'!$B$9:$G$9,0)))),0)</f>
        <v>0</v>
      </c>
      <c r="Z108" s="74">
        <f t="shared" si="20"/>
        <v>0</v>
      </c>
      <c r="AA108" s="67">
        <f t="shared" si="27"/>
        <v>0</v>
      </c>
      <c r="AB108" s="97">
        <f t="shared" si="28"/>
        <v>0</v>
      </c>
      <c r="AC108" s="82">
        <f t="shared" si="5"/>
        <v>0</v>
      </c>
      <c r="AD108" s="83">
        <f t="shared" si="29"/>
        <v>0</v>
      </c>
      <c r="AE108" s="97">
        <f t="shared" si="30"/>
        <v>0</v>
      </c>
      <c r="AF108" s="415" t="str">
        <f t="shared" si="21"/>
        <v>NA</v>
      </c>
      <c r="AG108" s="420" t="str">
        <f t="shared" si="31"/>
        <v>NA</v>
      </c>
      <c r="AH108" s="420" t="str">
        <f t="shared" si="32"/>
        <v>NA</v>
      </c>
      <c r="AI108" s="417" t="str">
        <f t="shared" si="4"/>
        <v>NA</v>
      </c>
      <c r="AJ108" s="417" t="str">
        <f t="shared" si="33"/>
        <v>NA</v>
      </c>
      <c r="AK108" s="524" t="str">
        <f>IFERROR(INDEX('Legacy Resident Reference'!R:R,MATCH('Unit Summary - Rent Roll'!AJ108,'Legacy Resident Reference'!P:P,0)),"NA")</f>
        <v>NA</v>
      </c>
    </row>
    <row r="109" spans="2:37" ht="13.8" x14ac:dyDescent="0.3">
      <c r="B109" s="236">
        <v>83</v>
      </c>
      <c r="C109" s="580" t="s">
        <v>143</v>
      </c>
      <c r="D109" s="581"/>
      <c r="E109" s="186" t="s">
        <v>139</v>
      </c>
      <c r="F109" s="187">
        <v>0</v>
      </c>
      <c r="G109" s="239" t="s">
        <v>85</v>
      </c>
      <c r="H109" s="243">
        <v>0</v>
      </c>
      <c r="I109" s="373">
        <f t="shared" si="22"/>
        <v>0</v>
      </c>
      <c r="J109" s="250" t="s">
        <v>139</v>
      </c>
      <c r="K109" s="508" t="s">
        <v>139</v>
      </c>
      <c r="L109" s="399" t="s">
        <v>139</v>
      </c>
      <c r="M109" s="403">
        <v>0</v>
      </c>
      <c r="N109" s="282" t="s">
        <v>139</v>
      </c>
      <c r="O109" s="302" t="str">
        <f>IF(OR(M109=0,N109="NA"),"NA",IFERROR(INDEX('Data - Reference'!$B$37:$B$50,MATCH('Unit Summary - Rent Roll'!$M109,INDEX('Data - Reference'!$B$37:$J$50,,MATCH('Unit Summary - Rent Roll'!$N109,'Data - Reference'!$B$37:$J$37,0)),-1),1),"NA"))</f>
        <v>NA</v>
      </c>
      <c r="P109" s="239" t="s">
        <v>85</v>
      </c>
      <c r="Q109" s="239" t="s">
        <v>85</v>
      </c>
      <c r="R109" s="188">
        <v>0</v>
      </c>
      <c r="S109" s="364">
        <f t="shared" si="23"/>
        <v>0</v>
      </c>
      <c r="T109" s="97">
        <f t="shared" si="24"/>
        <v>0</v>
      </c>
      <c r="U109" s="188">
        <v>0</v>
      </c>
      <c r="V109" s="364">
        <f t="shared" si="25"/>
        <v>0</v>
      </c>
      <c r="W109" s="97">
        <f t="shared" si="26"/>
        <v>0</v>
      </c>
      <c r="X109" s="71">
        <f>IFERROR(IF(INDEX(AC$14:AC$18,MATCH($E109,$AB$14:$AB$18,0))&lt;&gt;0,INDEX(AC$14:AC$18,MATCH($E109,$AB$14:$AB$18,0)),
IF($M109="Market",0,IF($L109="HUD FMR",INDEX('Data - Reference'!$B$31:$G$31,MATCH($E109,'Data - Reference'!$B$9:$G$9,0)),INDEX('Data - Reference'!$B$9:$G$31,MATCH($K109,'Data - Reference'!$B$9:$B$31,0),MATCH($E109,'Data - Reference'!$B$9:$G$9,0))))),0)</f>
        <v>0</v>
      </c>
      <c r="Y109" s="71">
        <f>IFERROR(IF(INDEX(AD$14:AD$18,MATCH($E109,$AB$14:$AB$18,0))&lt;&gt;0,INDEX(AD$14:AD$18,MATCH($E109,$AB$14:$AB$18,0)),
IF($K109="None - Market",0,-INDEX('Data - Reference'!$B$32:$G$32,MATCH($E109,'Data - Reference'!$B$9:$G$9,0)))),0)</f>
        <v>0</v>
      </c>
      <c r="Z109" s="74">
        <f t="shared" si="20"/>
        <v>0</v>
      </c>
      <c r="AA109" s="67">
        <f t="shared" si="27"/>
        <v>0</v>
      </c>
      <c r="AB109" s="97">
        <f t="shared" si="28"/>
        <v>0</v>
      </c>
      <c r="AC109" s="82">
        <f t="shared" si="5"/>
        <v>0</v>
      </c>
      <c r="AD109" s="83">
        <f t="shared" si="29"/>
        <v>0</v>
      </c>
      <c r="AE109" s="97">
        <f t="shared" si="30"/>
        <v>0</v>
      </c>
      <c r="AF109" s="415" t="str">
        <f t="shared" si="21"/>
        <v>NA</v>
      </c>
      <c r="AG109" s="420" t="str">
        <f t="shared" si="31"/>
        <v>NA</v>
      </c>
      <c r="AH109" s="420" t="str">
        <f t="shared" si="32"/>
        <v>NA</v>
      </c>
      <c r="AI109" s="417" t="str">
        <f t="shared" si="4"/>
        <v>NA</v>
      </c>
      <c r="AJ109" s="417" t="str">
        <f t="shared" si="33"/>
        <v>NA</v>
      </c>
      <c r="AK109" s="524" t="str">
        <f>IFERROR(INDEX('Legacy Resident Reference'!R:R,MATCH('Unit Summary - Rent Roll'!AJ109,'Legacy Resident Reference'!P:P,0)),"NA")</f>
        <v>NA</v>
      </c>
    </row>
    <row r="110" spans="2:37" ht="13.8" x14ac:dyDescent="0.3">
      <c r="B110" s="236">
        <v>84</v>
      </c>
      <c r="C110" s="580" t="s">
        <v>143</v>
      </c>
      <c r="D110" s="581"/>
      <c r="E110" s="186" t="s">
        <v>139</v>
      </c>
      <c r="F110" s="187">
        <v>0</v>
      </c>
      <c r="G110" s="239" t="s">
        <v>85</v>
      </c>
      <c r="H110" s="243">
        <v>0</v>
      </c>
      <c r="I110" s="373">
        <f t="shared" si="22"/>
        <v>0</v>
      </c>
      <c r="J110" s="250" t="s">
        <v>139</v>
      </c>
      <c r="K110" s="508" t="s">
        <v>139</v>
      </c>
      <c r="L110" s="399" t="s">
        <v>139</v>
      </c>
      <c r="M110" s="403">
        <v>0</v>
      </c>
      <c r="N110" s="282" t="s">
        <v>139</v>
      </c>
      <c r="O110" s="302" t="str">
        <f>IF(OR(M110=0,N110="NA"),"NA",IFERROR(INDEX('Data - Reference'!$B$37:$B$50,MATCH('Unit Summary - Rent Roll'!$M110,INDEX('Data - Reference'!$B$37:$J$50,,MATCH('Unit Summary - Rent Roll'!$N110,'Data - Reference'!$B$37:$J$37,0)),-1),1),"NA"))</f>
        <v>NA</v>
      </c>
      <c r="P110" s="239" t="s">
        <v>85</v>
      </c>
      <c r="Q110" s="239" t="s">
        <v>85</v>
      </c>
      <c r="R110" s="188">
        <v>0</v>
      </c>
      <c r="S110" s="364">
        <f t="shared" si="23"/>
        <v>0</v>
      </c>
      <c r="T110" s="97">
        <f t="shared" si="24"/>
        <v>0</v>
      </c>
      <c r="U110" s="188">
        <v>0</v>
      </c>
      <c r="V110" s="364">
        <f t="shared" si="25"/>
        <v>0</v>
      </c>
      <c r="W110" s="97">
        <f t="shared" si="26"/>
        <v>0</v>
      </c>
      <c r="X110" s="71">
        <f>IFERROR(IF(INDEX(AC$14:AC$18,MATCH($E110,$AB$14:$AB$18,0))&lt;&gt;0,INDEX(AC$14:AC$18,MATCH($E110,$AB$14:$AB$18,0)),
IF($M110="Market",0,IF($L110="HUD FMR",INDEX('Data - Reference'!$B$31:$G$31,MATCH($E110,'Data - Reference'!$B$9:$G$9,0)),INDEX('Data - Reference'!$B$9:$G$31,MATCH($K110,'Data - Reference'!$B$9:$B$31,0),MATCH($E110,'Data - Reference'!$B$9:$G$9,0))))),0)</f>
        <v>0</v>
      </c>
      <c r="Y110" s="71">
        <f>IFERROR(IF(INDEX(AD$14:AD$18,MATCH($E110,$AB$14:$AB$18,0))&lt;&gt;0,INDEX(AD$14:AD$18,MATCH($E110,$AB$14:$AB$18,0)),
IF($K110="None - Market",0,-INDEX('Data - Reference'!$B$32:$G$32,MATCH($E110,'Data - Reference'!$B$9:$G$9,0)))),0)</f>
        <v>0</v>
      </c>
      <c r="Z110" s="74">
        <f t="shared" si="20"/>
        <v>0</v>
      </c>
      <c r="AA110" s="67">
        <f t="shared" si="27"/>
        <v>0</v>
      </c>
      <c r="AB110" s="97">
        <f t="shared" si="28"/>
        <v>0</v>
      </c>
      <c r="AC110" s="82">
        <f t="shared" si="5"/>
        <v>0</v>
      </c>
      <c r="AD110" s="83">
        <f t="shared" si="29"/>
        <v>0</v>
      </c>
      <c r="AE110" s="97">
        <f t="shared" si="30"/>
        <v>0</v>
      </c>
      <c r="AF110" s="415" t="str">
        <f t="shared" si="21"/>
        <v>NA</v>
      </c>
      <c r="AG110" s="420" t="str">
        <f t="shared" si="31"/>
        <v>NA</v>
      </c>
      <c r="AH110" s="420" t="str">
        <f t="shared" si="32"/>
        <v>NA</v>
      </c>
      <c r="AI110" s="417" t="str">
        <f t="shared" si="4"/>
        <v>NA</v>
      </c>
      <c r="AJ110" s="417" t="str">
        <f t="shared" si="33"/>
        <v>NA</v>
      </c>
      <c r="AK110" s="524" t="str">
        <f>IFERROR(INDEX('Legacy Resident Reference'!R:R,MATCH('Unit Summary - Rent Roll'!AJ110,'Legacy Resident Reference'!P:P,0)),"NA")</f>
        <v>NA</v>
      </c>
    </row>
    <row r="111" spans="2:37" ht="13.8" x14ac:dyDescent="0.3">
      <c r="B111" s="236">
        <v>85</v>
      </c>
      <c r="C111" s="580" t="s">
        <v>143</v>
      </c>
      <c r="D111" s="581"/>
      <c r="E111" s="186" t="s">
        <v>139</v>
      </c>
      <c r="F111" s="187">
        <v>0</v>
      </c>
      <c r="G111" s="239" t="s">
        <v>85</v>
      </c>
      <c r="H111" s="243">
        <v>0</v>
      </c>
      <c r="I111" s="373">
        <f t="shared" si="22"/>
        <v>0</v>
      </c>
      <c r="J111" s="250" t="s">
        <v>139</v>
      </c>
      <c r="K111" s="508" t="s">
        <v>139</v>
      </c>
      <c r="L111" s="399" t="s">
        <v>139</v>
      </c>
      <c r="M111" s="403">
        <v>0</v>
      </c>
      <c r="N111" s="282" t="s">
        <v>139</v>
      </c>
      <c r="O111" s="302" t="str">
        <f>IF(OR(M111=0,N111="NA"),"NA",IFERROR(INDEX('Data - Reference'!$B$37:$B$50,MATCH('Unit Summary - Rent Roll'!$M111,INDEX('Data - Reference'!$B$37:$J$50,,MATCH('Unit Summary - Rent Roll'!$N111,'Data - Reference'!$B$37:$J$37,0)),-1),1),"NA"))</f>
        <v>NA</v>
      </c>
      <c r="P111" s="239" t="s">
        <v>85</v>
      </c>
      <c r="Q111" s="239" t="s">
        <v>85</v>
      </c>
      <c r="R111" s="188">
        <v>0</v>
      </c>
      <c r="S111" s="364">
        <f t="shared" si="23"/>
        <v>0</v>
      </c>
      <c r="T111" s="97">
        <f t="shared" si="24"/>
        <v>0</v>
      </c>
      <c r="U111" s="188">
        <v>0</v>
      </c>
      <c r="V111" s="364">
        <f t="shared" si="25"/>
        <v>0</v>
      </c>
      <c r="W111" s="97">
        <f t="shared" si="26"/>
        <v>0</v>
      </c>
      <c r="X111" s="71">
        <f>IFERROR(IF(INDEX(AC$14:AC$18,MATCH($E111,$AB$14:$AB$18,0))&lt;&gt;0,INDEX(AC$14:AC$18,MATCH($E111,$AB$14:$AB$18,0)),
IF($M111="Market",0,IF($L111="HUD FMR",INDEX('Data - Reference'!$B$31:$G$31,MATCH($E111,'Data - Reference'!$B$9:$G$9,0)),INDEX('Data - Reference'!$B$9:$G$31,MATCH($K111,'Data - Reference'!$B$9:$B$31,0),MATCH($E111,'Data - Reference'!$B$9:$G$9,0))))),0)</f>
        <v>0</v>
      </c>
      <c r="Y111" s="71">
        <f>IFERROR(IF(INDEX(AD$14:AD$18,MATCH($E111,$AB$14:$AB$18,0))&lt;&gt;0,INDEX(AD$14:AD$18,MATCH($E111,$AB$14:$AB$18,0)),
IF($K111="None - Market",0,-INDEX('Data - Reference'!$B$32:$G$32,MATCH($E111,'Data - Reference'!$B$9:$G$9,0)))),0)</f>
        <v>0</v>
      </c>
      <c r="Z111" s="74">
        <f t="shared" si="20"/>
        <v>0</v>
      </c>
      <c r="AA111" s="67">
        <f t="shared" si="27"/>
        <v>0</v>
      </c>
      <c r="AB111" s="97">
        <f t="shared" si="28"/>
        <v>0</v>
      </c>
      <c r="AC111" s="82">
        <f t="shared" si="5"/>
        <v>0</v>
      </c>
      <c r="AD111" s="83">
        <f t="shared" si="29"/>
        <v>0</v>
      </c>
      <c r="AE111" s="97">
        <f t="shared" si="30"/>
        <v>0</v>
      </c>
      <c r="AF111" s="415" t="str">
        <f t="shared" si="21"/>
        <v>NA</v>
      </c>
      <c r="AG111" s="420" t="str">
        <f t="shared" si="31"/>
        <v>NA</v>
      </c>
      <c r="AH111" s="420" t="str">
        <f t="shared" si="32"/>
        <v>NA</v>
      </c>
      <c r="AI111" s="417" t="str">
        <f t="shared" si="4"/>
        <v>NA</v>
      </c>
      <c r="AJ111" s="417" t="str">
        <f t="shared" si="33"/>
        <v>NA</v>
      </c>
      <c r="AK111" s="524" t="str">
        <f>IFERROR(INDEX('Legacy Resident Reference'!R:R,MATCH('Unit Summary - Rent Roll'!AJ111,'Legacy Resident Reference'!P:P,0)),"NA")</f>
        <v>NA</v>
      </c>
    </row>
    <row r="112" spans="2:37" ht="13.8" x14ac:dyDescent="0.3">
      <c r="B112" s="236">
        <v>86</v>
      </c>
      <c r="C112" s="580" t="s">
        <v>143</v>
      </c>
      <c r="D112" s="581"/>
      <c r="E112" s="186" t="s">
        <v>139</v>
      </c>
      <c r="F112" s="187">
        <v>0</v>
      </c>
      <c r="G112" s="239" t="s">
        <v>85</v>
      </c>
      <c r="H112" s="243">
        <v>0</v>
      </c>
      <c r="I112" s="373">
        <f t="shared" si="22"/>
        <v>0</v>
      </c>
      <c r="J112" s="250" t="s">
        <v>139</v>
      </c>
      <c r="K112" s="508" t="s">
        <v>139</v>
      </c>
      <c r="L112" s="399" t="s">
        <v>139</v>
      </c>
      <c r="M112" s="403">
        <v>0</v>
      </c>
      <c r="N112" s="282" t="s">
        <v>139</v>
      </c>
      <c r="O112" s="302" t="str">
        <f>IF(OR(M112=0,N112="NA"),"NA",IFERROR(INDEX('Data - Reference'!$B$37:$B$50,MATCH('Unit Summary - Rent Roll'!$M112,INDEX('Data - Reference'!$B$37:$J$50,,MATCH('Unit Summary - Rent Roll'!$N112,'Data - Reference'!$B$37:$J$37,0)),-1),1),"NA"))</f>
        <v>NA</v>
      </c>
      <c r="P112" s="239" t="s">
        <v>85</v>
      </c>
      <c r="Q112" s="239" t="s">
        <v>85</v>
      </c>
      <c r="R112" s="188">
        <v>0</v>
      </c>
      <c r="S112" s="364">
        <f t="shared" si="23"/>
        <v>0</v>
      </c>
      <c r="T112" s="97">
        <f t="shared" si="24"/>
        <v>0</v>
      </c>
      <c r="U112" s="188">
        <v>0</v>
      </c>
      <c r="V112" s="364">
        <f t="shared" si="25"/>
        <v>0</v>
      </c>
      <c r="W112" s="97">
        <f t="shared" si="26"/>
        <v>0</v>
      </c>
      <c r="X112" s="71">
        <f>IFERROR(IF(INDEX(AC$14:AC$18,MATCH($E112,$AB$14:$AB$18,0))&lt;&gt;0,INDEX(AC$14:AC$18,MATCH($E112,$AB$14:$AB$18,0)),
IF($M112="Market",0,IF($L112="HUD FMR",INDEX('Data - Reference'!$B$31:$G$31,MATCH($E112,'Data - Reference'!$B$9:$G$9,0)),INDEX('Data - Reference'!$B$9:$G$31,MATCH($K112,'Data - Reference'!$B$9:$B$31,0),MATCH($E112,'Data - Reference'!$B$9:$G$9,0))))),0)</f>
        <v>0</v>
      </c>
      <c r="Y112" s="71">
        <f>IFERROR(IF(INDEX(AD$14:AD$18,MATCH($E112,$AB$14:$AB$18,0))&lt;&gt;0,INDEX(AD$14:AD$18,MATCH($E112,$AB$14:$AB$18,0)),
IF($K112="None - Market",0,-INDEX('Data - Reference'!$B$32:$G$32,MATCH($E112,'Data - Reference'!$B$9:$G$9,0)))),0)</f>
        <v>0</v>
      </c>
      <c r="Z112" s="74">
        <f t="shared" si="20"/>
        <v>0</v>
      </c>
      <c r="AA112" s="67">
        <f t="shared" si="27"/>
        <v>0</v>
      </c>
      <c r="AB112" s="97">
        <f t="shared" si="28"/>
        <v>0</v>
      </c>
      <c r="AC112" s="82">
        <f t="shared" si="5"/>
        <v>0</v>
      </c>
      <c r="AD112" s="83">
        <f t="shared" si="29"/>
        <v>0</v>
      </c>
      <c r="AE112" s="97">
        <f t="shared" si="30"/>
        <v>0</v>
      </c>
      <c r="AF112" s="415" t="str">
        <f t="shared" si="21"/>
        <v>NA</v>
      </c>
      <c r="AG112" s="420" t="str">
        <f t="shared" si="31"/>
        <v>NA</v>
      </c>
      <c r="AH112" s="420" t="str">
        <f t="shared" si="32"/>
        <v>NA</v>
      </c>
      <c r="AI112" s="417" t="str">
        <f t="shared" si="4"/>
        <v>NA</v>
      </c>
      <c r="AJ112" s="417" t="str">
        <f t="shared" si="33"/>
        <v>NA</v>
      </c>
      <c r="AK112" s="524" t="str">
        <f>IFERROR(INDEX('Legacy Resident Reference'!R:R,MATCH('Unit Summary - Rent Roll'!AJ112,'Legacy Resident Reference'!P:P,0)),"NA")</f>
        <v>NA</v>
      </c>
    </row>
    <row r="113" spans="2:37" ht="13.8" x14ac:dyDescent="0.3">
      <c r="B113" s="236">
        <v>87</v>
      </c>
      <c r="C113" s="580" t="s">
        <v>143</v>
      </c>
      <c r="D113" s="581"/>
      <c r="E113" s="186" t="s">
        <v>139</v>
      </c>
      <c r="F113" s="187">
        <v>0</v>
      </c>
      <c r="G113" s="239" t="s">
        <v>85</v>
      </c>
      <c r="H113" s="243">
        <v>0</v>
      </c>
      <c r="I113" s="373">
        <f t="shared" si="22"/>
        <v>0</v>
      </c>
      <c r="J113" s="250" t="s">
        <v>139</v>
      </c>
      <c r="K113" s="508" t="s">
        <v>139</v>
      </c>
      <c r="L113" s="399" t="s">
        <v>139</v>
      </c>
      <c r="M113" s="403">
        <v>0</v>
      </c>
      <c r="N113" s="282" t="s">
        <v>139</v>
      </c>
      <c r="O113" s="302" t="str">
        <f>IF(OR(M113=0,N113="NA"),"NA",IFERROR(INDEX('Data - Reference'!$B$37:$B$50,MATCH('Unit Summary - Rent Roll'!$M113,INDEX('Data - Reference'!$B$37:$J$50,,MATCH('Unit Summary - Rent Roll'!$N113,'Data - Reference'!$B$37:$J$37,0)),-1),1),"NA"))</f>
        <v>NA</v>
      </c>
      <c r="P113" s="239" t="s">
        <v>85</v>
      </c>
      <c r="Q113" s="239" t="s">
        <v>85</v>
      </c>
      <c r="R113" s="188">
        <v>0</v>
      </c>
      <c r="S113" s="364">
        <f t="shared" si="23"/>
        <v>0</v>
      </c>
      <c r="T113" s="97">
        <f t="shared" si="24"/>
        <v>0</v>
      </c>
      <c r="U113" s="188">
        <v>0</v>
      </c>
      <c r="V113" s="364">
        <f t="shared" si="25"/>
        <v>0</v>
      </c>
      <c r="W113" s="97">
        <f t="shared" si="26"/>
        <v>0</v>
      </c>
      <c r="X113" s="71">
        <f>IFERROR(IF(INDEX(AC$14:AC$18,MATCH($E113,$AB$14:$AB$18,0))&lt;&gt;0,INDEX(AC$14:AC$18,MATCH($E113,$AB$14:$AB$18,0)),
IF($M113="Market",0,IF($L113="HUD FMR",INDEX('Data - Reference'!$B$31:$G$31,MATCH($E113,'Data - Reference'!$B$9:$G$9,0)),INDEX('Data - Reference'!$B$9:$G$31,MATCH($K113,'Data - Reference'!$B$9:$B$31,0),MATCH($E113,'Data - Reference'!$B$9:$G$9,0))))),0)</f>
        <v>0</v>
      </c>
      <c r="Y113" s="71">
        <f>IFERROR(IF(INDEX(AD$14:AD$18,MATCH($E113,$AB$14:$AB$18,0))&lt;&gt;0,INDEX(AD$14:AD$18,MATCH($E113,$AB$14:$AB$18,0)),
IF($K113="None - Market",0,-INDEX('Data - Reference'!$B$32:$G$32,MATCH($E113,'Data - Reference'!$B$9:$G$9,0)))),0)</f>
        <v>0</v>
      </c>
      <c r="Z113" s="74">
        <f t="shared" si="20"/>
        <v>0</v>
      </c>
      <c r="AA113" s="67">
        <f t="shared" si="27"/>
        <v>0</v>
      </c>
      <c r="AB113" s="97">
        <f t="shared" si="28"/>
        <v>0</v>
      </c>
      <c r="AC113" s="82">
        <f t="shared" si="5"/>
        <v>0</v>
      </c>
      <c r="AD113" s="83">
        <f t="shared" si="29"/>
        <v>0</v>
      </c>
      <c r="AE113" s="97">
        <f t="shared" si="30"/>
        <v>0</v>
      </c>
      <c r="AF113" s="415" t="str">
        <f t="shared" si="21"/>
        <v>NA</v>
      </c>
      <c r="AG113" s="420" t="str">
        <f t="shared" si="31"/>
        <v>NA</v>
      </c>
      <c r="AH113" s="420" t="str">
        <f t="shared" si="32"/>
        <v>NA</v>
      </c>
      <c r="AI113" s="417" t="str">
        <f t="shared" si="4"/>
        <v>NA</v>
      </c>
      <c r="AJ113" s="417" t="str">
        <f t="shared" si="33"/>
        <v>NA</v>
      </c>
      <c r="AK113" s="524" t="str">
        <f>IFERROR(INDEX('Legacy Resident Reference'!R:R,MATCH('Unit Summary - Rent Roll'!AJ113,'Legacy Resident Reference'!P:P,0)),"NA")</f>
        <v>NA</v>
      </c>
    </row>
    <row r="114" spans="2:37" ht="13.8" x14ac:dyDescent="0.3">
      <c r="B114" s="236">
        <v>88</v>
      </c>
      <c r="C114" s="580" t="s">
        <v>143</v>
      </c>
      <c r="D114" s="581"/>
      <c r="E114" s="186" t="s">
        <v>139</v>
      </c>
      <c r="F114" s="187">
        <v>0</v>
      </c>
      <c r="G114" s="239" t="s">
        <v>85</v>
      </c>
      <c r="H114" s="243">
        <v>0</v>
      </c>
      <c r="I114" s="373">
        <f t="shared" si="22"/>
        <v>0</v>
      </c>
      <c r="J114" s="250" t="s">
        <v>139</v>
      </c>
      <c r="K114" s="508" t="s">
        <v>139</v>
      </c>
      <c r="L114" s="399" t="s">
        <v>139</v>
      </c>
      <c r="M114" s="403">
        <v>0</v>
      </c>
      <c r="N114" s="282" t="s">
        <v>139</v>
      </c>
      <c r="O114" s="302" t="str">
        <f>IF(OR(M114=0,N114="NA"),"NA",IFERROR(INDEX('Data - Reference'!$B$37:$B$50,MATCH('Unit Summary - Rent Roll'!$M114,INDEX('Data - Reference'!$B$37:$J$50,,MATCH('Unit Summary - Rent Roll'!$N114,'Data - Reference'!$B$37:$J$37,0)),-1),1),"NA"))</f>
        <v>NA</v>
      </c>
      <c r="P114" s="239" t="s">
        <v>85</v>
      </c>
      <c r="Q114" s="239" t="s">
        <v>85</v>
      </c>
      <c r="R114" s="188">
        <v>0</v>
      </c>
      <c r="S114" s="364">
        <f t="shared" si="23"/>
        <v>0</v>
      </c>
      <c r="T114" s="97">
        <f t="shared" si="24"/>
        <v>0</v>
      </c>
      <c r="U114" s="188">
        <v>0</v>
      </c>
      <c r="V114" s="364">
        <f t="shared" si="25"/>
        <v>0</v>
      </c>
      <c r="W114" s="97">
        <f t="shared" si="26"/>
        <v>0</v>
      </c>
      <c r="X114" s="71">
        <f>IFERROR(IF(INDEX(AC$14:AC$18,MATCH($E114,$AB$14:$AB$18,0))&lt;&gt;0,INDEX(AC$14:AC$18,MATCH($E114,$AB$14:$AB$18,0)),
IF($M114="Market",0,IF($L114="HUD FMR",INDEX('Data - Reference'!$B$31:$G$31,MATCH($E114,'Data - Reference'!$B$9:$G$9,0)),INDEX('Data - Reference'!$B$9:$G$31,MATCH($K114,'Data - Reference'!$B$9:$B$31,0),MATCH($E114,'Data - Reference'!$B$9:$G$9,0))))),0)</f>
        <v>0</v>
      </c>
      <c r="Y114" s="71">
        <f>IFERROR(IF(INDEX(AD$14:AD$18,MATCH($E114,$AB$14:$AB$18,0))&lt;&gt;0,INDEX(AD$14:AD$18,MATCH($E114,$AB$14:$AB$18,0)),
IF($K114="None - Market",0,-INDEX('Data - Reference'!$B$32:$G$32,MATCH($E114,'Data - Reference'!$B$9:$G$9,0)))),0)</f>
        <v>0</v>
      </c>
      <c r="Z114" s="74">
        <f t="shared" si="20"/>
        <v>0</v>
      </c>
      <c r="AA114" s="67">
        <f t="shared" si="27"/>
        <v>0</v>
      </c>
      <c r="AB114" s="97">
        <f t="shared" si="28"/>
        <v>0</v>
      </c>
      <c r="AC114" s="82">
        <f t="shared" si="5"/>
        <v>0</v>
      </c>
      <c r="AD114" s="83">
        <f t="shared" si="29"/>
        <v>0</v>
      </c>
      <c r="AE114" s="97">
        <f t="shared" si="30"/>
        <v>0</v>
      </c>
      <c r="AF114" s="415" t="str">
        <f t="shared" si="21"/>
        <v>NA</v>
      </c>
      <c r="AG114" s="420" t="str">
        <f t="shared" si="31"/>
        <v>NA</v>
      </c>
      <c r="AH114" s="420" t="str">
        <f t="shared" si="32"/>
        <v>NA</v>
      </c>
      <c r="AI114" s="417" t="str">
        <f t="shared" si="4"/>
        <v>NA</v>
      </c>
      <c r="AJ114" s="417" t="str">
        <f t="shared" si="33"/>
        <v>NA</v>
      </c>
      <c r="AK114" s="524" t="str">
        <f>IFERROR(INDEX('Legacy Resident Reference'!R:R,MATCH('Unit Summary - Rent Roll'!AJ114,'Legacy Resident Reference'!P:P,0)),"NA")</f>
        <v>NA</v>
      </c>
    </row>
    <row r="115" spans="2:37" ht="13.8" x14ac:dyDescent="0.3">
      <c r="B115" s="236">
        <v>89</v>
      </c>
      <c r="C115" s="580" t="s">
        <v>143</v>
      </c>
      <c r="D115" s="581"/>
      <c r="E115" s="186" t="s">
        <v>139</v>
      </c>
      <c r="F115" s="187">
        <v>0</v>
      </c>
      <c r="G115" s="239" t="s">
        <v>85</v>
      </c>
      <c r="H115" s="243">
        <v>0</v>
      </c>
      <c r="I115" s="373">
        <f t="shared" si="22"/>
        <v>0</v>
      </c>
      <c r="J115" s="250" t="s">
        <v>139</v>
      </c>
      <c r="K115" s="508" t="s">
        <v>139</v>
      </c>
      <c r="L115" s="399" t="s">
        <v>139</v>
      </c>
      <c r="M115" s="403">
        <v>0</v>
      </c>
      <c r="N115" s="282" t="s">
        <v>139</v>
      </c>
      <c r="O115" s="302" t="str">
        <f>IF(OR(M115=0,N115="NA"),"NA",IFERROR(INDEX('Data - Reference'!$B$37:$B$50,MATCH('Unit Summary - Rent Roll'!$M115,INDEX('Data - Reference'!$B$37:$J$50,,MATCH('Unit Summary - Rent Roll'!$N115,'Data - Reference'!$B$37:$J$37,0)),-1),1),"NA"))</f>
        <v>NA</v>
      </c>
      <c r="P115" s="239" t="s">
        <v>85</v>
      </c>
      <c r="Q115" s="239" t="s">
        <v>85</v>
      </c>
      <c r="R115" s="188">
        <v>0</v>
      </c>
      <c r="S115" s="364">
        <f t="shared" si="23"/>
        <v>0</v>
      </c>
      <c r="T115" s="97">
        <f t="shared" si="24"/>
        <v>0</v>
      </c>
      <c r="U115" s="188">
        <v>0</v>
      </c>
      <c r="V115" s="364">
        <f t="shared" si="25"/>
        <v>0</v>
      </c>
      <c r="W115" s="97">
        <f t="shared" si="26"/>
        <v>0</v>
      </c>
      <c r="X115" s="71">
        <f>IFERROR(IF(INDEX(AC$14:AC$18,MATCH($E115,$AB$14:$AB$18,0))&lt;&gt;0,INDEX(AC$14:AC$18,MATCH($E115,$AB$14:$AB$18,0)),
IF($M115="Market",0,IF($L115="HUD FMR",INDEX('Data - Reference'!$B$31:$G$31,MATCH($E115,'Data - Reference'!$B$9:$G$9,0)),INDEX('Data - Reference'!$B$9:$G$31,MATCH($K115,'Data - Reference'!$B$9:$B$31,0),MATCH($E115,'Data - Reference'!$B$9:$G$9,0))))),0)</f>
        <v>0</v>
      </c>
      <c r="Y115" s="71">
        <f>IFERROR(IF(INDEX(AD$14:AD$18,MATCH($E115,$AB$14:$AB$18,0))&lt;&gt;0,INDEX(AD$14:AD$18,MATCH($E115,$AB$14:$AB$18,0)),
IF($K115="None - Market",0,-INDEX('Data - Reference'!$B$32:$G$32,MATCH($E115,'Data - Reference'!$B$9:$G$9,0)))),0)</f>
        <v>0</v>
      </c>
      <c r="Z115" s="74">
        <f t="shared" si="20"/>
        <v>0</v>
      </c>
      <c r="AA115" s="67">
        <f t="shared" si="27"/>
        <v>0</v>
      </c>
      <c r="AB115" s="97">
        <f t="shared" si="28"/>
        <v>0</v>
      </c>
      <c r="AC115" s="82">
        <f t="shared" si="5"/>
        <v>0</v>
      </c>
      <c r="AD115" s="83">
        <f t="shared" si="29"/>
        <v>0</v>
      </c>
      <c r="AE115" s="97">
        <f t="shared" si="30"/>
        <v>0</v>
      </c>
      <c r="AF115" s="415" t="str">
        <f t="shared" si="21"/>
        <v>NA</v>
      </c>
      <c r="AG115" s="420" t="str">
        <f t="shared" si="31"/>
        <v>NA</v>
      </c>
      <c r="AH115" s="420" t="str">
        <f t="shared" si="32"/>
        <v>NA</v>
      </c>
      <c r="AI115" s="417" t="str">
        <f t="shared" si="4"/>
        <v>NA</v>
      </c>
      <c r="AJ115" s="417" t="str">
        <f t="shared" si="33"/>
        <v>NA</v>
      </c>
      <c r="AK115" s="524" t="str">
        <f>IFERROR(INDEX('Legacy Resident Reference'!R:R,MATCH('Unit Summary - Rent Roll'!AJ115,'Legacy Resident Reference'!P:P,0)),"NA")</f>
        <v>NA</v>
      </c>
    </row>
    <row r="116" spans="2:37" ht="13.8" x14ac:dyDescent="0.3">
      <c r="B116" s="236">
        <v>90</v>
      </c>
      <c r="C116" s="580" t="s">
        <v>143</v>
      </c>
      <c r="D116" s="581"/>
      <c r="E116" s="186" t="s">
        <v>139</v>
      </c>
      <c r="F116" s="187">
        <v>0</v>
      </c>
      <c r="G116" s="239" t="s">
        <v>85</v>
      </c>
      <c r="H116" s="243">
        <v>0</v>
      </c>
      <c r="I116" s="373">
        <f t="shared" si="22"/>
        <v>0</v>
      </c>
      <c r="J116" s="250" t="s">
        <v>139</v>
      </c>
      <c r="K116" s="508" t="s">
        <v>139</v>
      </c>
      <c r="L116" s="399" t="s">
        <v>139</v>
      </c>
      <c r="M116" s="403">
        <v>0</v>
      </c>
      <c r="N116" s="282" t="s">
        <v>139</v>
      </c>
      <c r="O116" s="302" t="str">
        <f>IF(OR(M116=0,N116="NA"),"NA",IFERROR(INDEX('Data - Reference'!$B$37:$B$50,MATCH('Unit Summary - Rent Roll'!$M116,INDEX('Data - Reference'!$B$37:$J$50,,MATCH('Unit Summary - Rent Roll'!$N116,'Data - Reference'!$B$37:$J$37,0)),-1),1),"NA"))</f>
        <v>NA</v>
      </c>
      <c r="P116" s="239" t="s">
        <v>85</v>
      </c>
      <c r="Q116" s="239" t="s">
        <v>85</v>
      </c>
      <c r="R116" s="188">
        <v>0</v>
      </c>
      <c r="S116" s="364">
        <f t="shared" si="23"/>
        <v>0</v>
      </c>
      <c r="T116" s="97">
        <f t="shared" si="24"/>
        <v>0</v>
      </c>
      <c r="U116" s="188">
        <v>0</v>
      </c>
      <c r="V116" s="364">
        <f t="shared" si="25"/>
        <v>0</v>
      </c>
      <c r="W116" s="97">
        <f t="shared" si="26"/>
        <v>0</v>
      </c>
      <c r="X116" s="71">
        <f>IFERROR(IF(INDEX(AC$14:AC$18,MATCH($E116,$AB$14:$AB$18,0))&lt;&gt;0,INDEX(AC$14:AC$18,MATCH($E116,$AB$14:$AB$18,0)),
IF($M116="Market",0,IF($L116="HUD FMR",INDEX('Data - Reference'!$B$31:$G$31,MATCH($E116,'Data - Reference'!$B$9:$G$9,0)),INDEX('Data - Reference'!$B$9:$G$31,MATCH($K116,'Data - Reference'!$B$9:$B$31,0),MATCH($E116,'Data - Reference'!$B$9:$G$9,0))))),0)</f>
        <v>0</v>
      </c>
      <c r="Y116" s="71">
        <f>IFERROR(IF(INDEX(AD$14:AD$18,MATCH($E116,$AB$14:$AB$18,0))&lt;&gt;0,INDEX(AD$14:AD$18,MATCH($E116,$AB$14:$AB$18,0)),
IF($K116="None - Market",0,-INDEX('Data - Reference'!$B$32:$G$32,MATCH($E116,'Data - Reference'!$B$9:$G$9,0)))),0)</f>
        <v>0</v>
      </c>
      <c r="Z116" s="74">
        <f t="shared" si="20"/>
        <v>0</v>
      </c>
      <c r="AA116" s="67">
        <f t="shared" si="27"/>
        <v>0</v>
      </c>
      <c r="AB116" s="97">
        <f t="shared" si="28"/>
        <v>0</v>
      </c>
      <c r="AC116" s="82">
        <f t="shared" si="5"/>
        <v>0</v>
      </c>
      <c r="AD116" s="83">
        <f t="shared" si="29"/>
        <v>0</v>
      </c>
      <c r="AE116" s="97">
        <f t="shared" si="30"/>
        <v>0</v>
      </c>
      <c r="AF116" s="415" t="str">
        <f t="shared" si="21"/>
        <v>NA</v>
      </c>
      <c r="AG116" s="420" t="str">
        <f t="shared" si="31"/>
        <v>NA</v>
      </c>
      <c r="AH116" s="420" t="str">
        <f t="shared" si="32"/>
        <v>NA</v>
      </c>
      <c r="AI116" s="417" t="str">
        <f t="shared" si="4"/>
        <v>NA</v>
      </c>
      <c r="AJ116" s="417" t="str">
        <f t="shared" si="33"/>
        <v>NA</v>
      </c>
      <c r="AK116" s="524" t="str">
        <f>IFERROR(INDEX('Legacy Resident Reference'!R:R,MATCH('Unit Summary - Rent Roll'!AJ116,'Legacy Resident Reference'!P:P,0)),"NA")</f>
        <v>NA</v>
      </c>
    </row>
    <row r="117" spans="2:37" ht="13.8" x14ac:dyDescent="0.3">
      <c r="B117" s="236">
        <v>91</v>
      </c>
      <c r="C117" s="580" t="s">
        <v>143</v>
      </c>
      <c r="D117" s="581"/>
      <c r="E117" s="186" t="s">
        <v>139</v>
      </c>
      <c r="F117" s="187">
        <v>0</v>
      </c>
      <c r="G117" s="239" t="s">
        <v>85</v>
      </c>
      <c r="H117" s="243">
        <v>0</v>
      </c>
      <c r="I117" s="373">
        <f t="shared" si="22"/>
        <v>0</v>
      </c>
      <c r="J117" s="250" t="s">
        <v>139</v>
      </c>
      <c r="K117" s="508" t="s">
        <v>139</v>
      </c>
      <c r="L117" s="399" t="s">
        <v>139</v>
      </c>
      <c r="M117" s="403">
        <v>0</v>
      </c>
      <c r="N117" s="282" t="s">
        <v>139</v>
      </c>
      <c r="O117" s="302" t="str">
        <f>IF(OR(M117=0,N117="NA"),"NA",IFERROR(INDEX('Data - Reference'!$B$37:$B$50,MATCH('Unit Summary - Rent Roll'!$M117,INDEX('Data - Reference'!$B$37:$J$50,,MATCH('Unit Summary - Rent Roll'!$N117,'Data - Reference'!$B$37:$J$37,0)),-1),1),"NA"))</f>
        <v>NA</v>
      </c>
      <c r="P117" s="239" t="s">
        <v>85</v>
      </c>
      <c r="Q117" s="239" t="s">
        <v>85</v>
      </c>
      <c r="R117" s="188">
        <v>0</v>
      </c>
      <c r="S117" s="364">
        <f t="shared" si="23"/>
        <v>0</v>
      </c>
      <c r="T117" s="97">
        <f t="shared" si="24"/>
        <v>0</v>
      </c>
      <c r="U117" s="188">
        <v>0</v>
      </c>
      <c r="V117" s="364">
        <f t="shared" si="25"/>
        <v>0</v>
      </c>
      <c r="W117" s="97">
        <f t="shared" si="26"/>
        <v>0</v>
      </c>
      <c r="X117" s="71">
        <f>IFERROR(IF(INDEX(AC$14:AC$18,MATCH($E117,$AB$14:$AB$18,0))&lt;&gt;0,INDEX(AC$14:AC$18,MATCH($E117,$AB$14:$AB$18,0)),
IF($M117="Market",0,IF($L117="HUD FMR",INDEX('Data - Reference'!$B$31:$G$31,MATCH($E117,'Data - Reference'!$B$9:$G$9,0)),INDEX('Data - Reference'!$B$9:$G$31,MATCH($K117,'Data - Reference'!$B$9:$B$31,0),MATCH($E117,'Data - Reference'!$B$9:$G$9,0))))),0)</f>
        <v>0</v>
      </c>
      <c r="Y117" s="71">
        <f>IFERROR(IF(INDEX(AD$14:AD$18,MATCH($E117,$AB$14:$AB$18,0))&lt;&gt;0,INDEX(AD$14:AD$18,MATCH($E117,$AB$14:$AB$18,0)),
IF($K117="None - Market",0,-INDEX('Data - Reference'!$B$32:$G$32,MATCH($E117,'Data - Reference'!$B$9:$G$9,0)))),0)</f>
        <v>0</v>
      </c>
      <c r="Z117" s="74">
        <f t="shared" si="20"/>
        <v>0</v>
      </c>
      <c r="AA117" s="67">
        <f t="shared" si="27"/>
        <v>0</v>
      </c>
      <c r="AB117" s="97">
        <f t="shared" si="28"/>
        <v>0</v>
      </c>
      <c r="AC117" s="82">
        <f t="shared" si="5"/>
        <v>0</v>
      </c>
      <c r="AD117" s="83">
        <f t="shared" si="29"/>
        <v>0</v>
      </c>
      <c r="AE117" s="97">
        <f t="shared" si="30"/>
        <v>0</v>
      </c>
      <c r="AF117" s="415" t="str">
        <f t="shared" si="21"/>
        <v>NA</v>
      </c>
      <c r="AG117" s="420" t="str">
        <f t="shared" si="31"/>
        <v>NA</v>
      </c>
      <c r="AH117" s="420" t="str">
        <f t="shared" si="32"/>
        <v>NA</v>
      </c>
      <c r="AI117" s="417" t="str">
        <f t="shared" si="4"/>
        <v>NA</v>
      </c>
      <c r="AJ117" s="417" t="str">
        <f t="shared" si="33"/>
        <v>NA</v>
      </c>
      <c r="AK117" s="524" t="str">
        <f>IFERROR(INDEX('Legacy Resident Reference'!R:R,MATCH('Unit Summary - Rent Roll'!AJ117,'Legacy Resident Reference'!P:P,0)),"NA")</f>
        <v>NA</v>
      </c>
    </row>
    <row r="118" spans="2:37" ht="13.8" x14ac:dyDescent="0.3">
      <c r="B118" s="236">
        <v>92</v>
      </c>
      <c r="C118" s="580" t="s">
        <v>143</v>
      </c>
      <c r="D118" s="581"/>
      <c r="E118" s="186" t="s">
        <v>139</v>
      </c>
      <c r="F118" s="187">
        <v>0</v>
      </c>
      <c r="G118" s="239" t="s">
        <v>85</v>
      </c>
      <c r="H118" s="243">
        <v>0</v>
      </c>
      <c r="I118" s="373">
        <f t="shared" si="22"/>
        <v>0</v>
      </c>
      <c r="J118" s="250" t="s">
        <v>139</v>
      </c>
      <c r="K118" s="508" t="s">
        <v>139</v>
      </c>
      <c r="L118" s="399" t="s">
        <v>139</v>
      </c>
      <c r="M118" s="403">
        <v>0</v>
      </c>
      <c r="N118" s="282" t="s">
        <v>139</v>
      </c>
      <c r="O118" s="302" t="str">
        <f>IF(OR(M118=0,N118="NA"),"NA",IFERROR(INDEX('Data - Reference'!$B$37:$B$50,MATCH('Unit Summary - Rent Roll'!$M118,INDEX('Data - Reference'!$B$37:$J$50,,MATCH('Unit Summary - Rent Roll'!$N118,'Data - Reference'!$B$37:$J$37,0)),-1),1),"NA"))</f>
        <v>NA</v>
      </c>
      <c r="P118" s="239" t="s">
        <v>85</v>
      </c>
      <c r="Q118" s="239" t="s">
        <v>85</v>
      </c>
      <c r="R118" s="188">
        <v>0</v>
      </c>
      <c r="S118" s="364">
        <f t="shared" si="23"/>
        <v>0</v>
      </c>
      <c r="T118" s="97">
        <f t="shared" si="24"/>
        <v>0</v>
      </c>
      <c r="U118" s="188">
        <v>0</v>
      </c>
      <c r="V118" s="364">
        <f t="shared" si="25"/>
        <v>0</v>
      </c>
      <c r="W118" s="97">
        <f t="shared" si="26"/>
        <v>0</v>
      </c>
      <c r="X118" s="71">
        <f>IFERROR(IF(INDEX(AC$14:AC$18,MATCH($E118,$AB$14:$AB$18,0))&lt;&gt;0,INDEX(AC$14:AC$18,MATCH($E118,$AB$14:$AB$18,0)),
IF($M118="Market",0,IF($L118="HUD FMR",INDEX('Data - Reference'!$B$31:$G$31,MATCH($E118,'Data - Reference'!$B$9:$G$9,0)),INDEX('Data - Reference'!$B$9:$G$31,MATCH($K118,'Data - Reference'!$B$9:$B$31,0),MATCH($E118,'Data - Reference'!$B$9:$G$9,0))))),0)</f>
        <v>0</v>
      </c>
      <c r="Y118" s="71">
        <f>IFERROR(IF(INDEX(AD$14:AD$18,MATCH($E118,$AB$14:$AB$18,0))&lt;&gt;0,INDEX(AD$14:AD$18,MATCH($E118,$AB$14:$AB$18,0)),
IF($K118="None - Market",0,-INDEX('Data - Reference'!$B$32:$G$32,MATCH($E118,'Data - Reference'!$B$9:$G$9,0)))),0)</f>
        <v>0</v>
      </c>
      <c r="Z118" s="74">
        <f t="shared" si="20"/>
        <v>0</v>
      </c>
      <c r="AA118" s="67">
        <f t="shared" si="27"/>
        <v>0</v>
      </c>
      <c r="AB118" s="97">
        <f t="shared" si="28"/>
        <v>0</v>
      </c>
      <c r="AC118" s="82">
        <f t="shared" si="5"/>
        <v>0</v>
      </c>
      <c r="AD118" s="83">
        <f t="shared" si="29"/>
        <v>0</v>
      </c>
      <c r="AE118" s="97">
        <f t="shared" si="30"/>
        <v>0</v>
      </c>
      <c r="AF118" s="415" t="str">
        <f t="shared" si="21"/>
        <v>NA</v>
      </c>
      <c r="AG118" s="420" t="str">
        <f t="shared" si="31"/>
        <v>NA</v>
      </c>
      <c r="AH118" s="420" t="str">
        <f t="shared" si="32"/>
        <v>NA</v>
      </c>
      <c r="AI118" s="417" t="str">
        <f t="shared" si="4"/>
        <v>NA</v>
      </c>
      <c r="AJ118" s="417" t="str">
        <f t="shared" si="33"/>
        <v>NA</v>
      </c>
      <c r="AK118" s="524" t="str">
        <f>IFERROR(INDEX('Legacy Resident Reference'!R:R,MATCH('Unit Summary - Rent Roll'!AJ118,'Legacy Resident Reference'!P:P,0)),"NA")</f>
        <v>NA</v>
      </c>
    </row>
    <row r="119" spans="2:37" ht="13.8" x14ac:dyDescent="0.3">
      <c r="B119" s="236">
        <v>93</v>
      </c>
      <c r="C119" s="580" t="s">
        <v>143</v>
      </c>
      <c r="D119" s="581"/>
      <c r="E119" s="186" t="s">
        <v>139</v>
      </c>
      <c r="F119" s="187">
        <v>0</v>
      </c>
      <c r="G119" s="239" t="s">
        <v>85</v>
      </c>
      <c r="H119" s="243">
        <v>0</v>
      </c>
      <c r="I119" s="373">
        <f t="shared" si="22"/>
        <v>0</v>
      </c>
      <c r="J119" s="250" t="s">
        <v>139</v>
      </c>
      <c r="K119" s="508" t="s">
        <v>139</v>
      </c>
      <c r="L119" s="399" t="s">
        <v>139</v>
      </c>
      <c r="M119" s="403">
        <v>0</v>
      </c>
      <c r="N119" s="282" t="s">
        <v>139</v>
      </c>
      <c r="O119" s="302" t="str">
        <f>IF(OR(M119=0,N119="NA"),"NA",IFERROR(INDEX('Data - Reference'!$B$37:$B$50,MATCH('Unit Summary - Rent Roll'!$M119,INDEX('Data - Reference'!$B$37:$J$50,,MATCH('Unit Summary - Rent Roll'!$N119,'Data - Reference'!$B$37:$J$37,0)),-1),1),"NA"))</f>
        <v>NA</v>
      </c>
      <c r="P119" s="239" t="s">
        <v>85</v>
      </c>
      <c r="Q119" s="239" t="s">
        <v>85</v>
      </c>
      <c r="R119" s="188">
        <v>0</v>
      </c>
      <c r="S119" s="364">
        <f t="shared" si="23"/>
        <v>0</v>
      </c>
      <c r="T119" s="97">
        <f t="shared" si="24"/>
        <v>0</v>
      </c>
      <c r="U119" s="188">
        <v>0</v>
      </c>
      <c r="V119" s="364">
        <f t="shared" si="25"/>
        <v>0</v>
      </c>
      <c r="W119" s="97">
        <f t="shared" si="26"/>
        <v>0</v>
      </c>
      <c r="X119" s="71">
        <f>IFERROR(IF(INDEX(AC$14:AC$18,MATCH($E119,$AB$14:$AB$18,0))&lt;&gt;0,INDEX(AC$14:AC$18,MATCH($E119,$AB$14:$AB$18,0)),
IF($M119="Market",0,IF($L119="HUD FMR",INDEX('Data - Reference'!$B$31:$G$31,MATCH($E119,'Data - Reference'!$B$9:$G$9,0)),INDEX('Data - Reference'!$B$9:$G$31,MATCH($K119,'Data - Reference'!$B$9:$B$31,0),MATCH($E119,'Data - Reference'!$B$9:$G$9,0))))),0)</f>
        <v>0</v>
      </c>
      <c r="Y119" s="71">
        <f>IFERROR(IF(INDEX(AD$14:AD$18,MATCH($E119,$AB$14:$AB$18,0))&lt;&gt;0,INDEX(AD$14:AD$18,MATCH($E119,$AB$14:$AB$18,0)),
IF($K119="None - Market",0,-INDEX('Data - Reference'!$B$32:$G$32,MATCH($E119,'Data - Reference'!$B$9:$G$9,0)))),0)</f>
        <v>0</v>
      </c>
      <c r="Z119" s="74">
        <f t="shared" si="20"/>
        <v>0</v>
      </c>
      <c r="AA119" s="67">
        <f t="shared" si="27"/>
        <v>0</v>
      </c>
      <c r="AB119" s="97">
        <f t="shared" si="28"/>
        <v>0</v>
      </c>
      <c r="AC119" s="82">
        <f t="shared" si="5"/>
        <v>0</v>
      </c>
      <c r="AD119" s="83">
        <f t="shared" si="29"/>
        <v>0</v>
      </c>
      <c r="AE119" s="97">
        <f t="shared" si="30"/>
        <v>0</v>
      </c>
      <c r="AF119" s="415" t="str">
        <f t="shared" si="21"/>
        <v>NA</v>
      </c>
      <c r="AG119" s="420" t="str">
        <f t="shared" si="31"/>
        <v>NA</v>
      </c>
      <c r="AH119" s="420" t="str">
        <f t="shared" si="32"/>
        <v>NA</v>
      </c>
      <c r="AI119" s="417" t="str">
        <f t="shared" si="4"/>
        <v>NA</v>
      </c>
      <c r="AJ119" s="417" t="str">
        <f t="shared" si="33"/>
        <v>NA</v>
      </c>
      <c r="AK119" s="524" t="str">
        <f>IFERROR(INDEX('Legacy Resident Reference'!R:R,MATCH('Unit Summary - Rent Roll'!AJ119,'Legacy Resident Reference'!P:P,0)),"NA")</f>
        <v>NA</v>
      </c>
    </row>
    <row r="120" spans="2:37" ht="13.8" x14ac:dyDescent="0.3">
      <c r="B120" s="236">
        <v>94</v>
      </c>
      <c r="C120" s="580" t="s">
        <v>143</v>
      </c>
      <c r="D120" s="581"/>
      <c r="E120" s="186" t="s">
        <v>139</v>
      </c>
      <c r="F120" s="187">
        <v>0</v>
      </c>
      <c r="G120" s="239" t="s">
        <v>85</v>
      </c>
      <c r="H120" s="243">
        <v>0</v>
      </c>
      <c r="I120" s="373">
        <f t="shared" si="22"/>
        <v>0</v>
      </c>
      <c r="J120" s="250" t="s">
        <v>139</v>
      </c>
      <c r="K120" s="508" t="s">
        <v>139</v>
      </c>
      <c r="L120" s="399" t="s">
        <v>139</v>
      </c>
      <c r="M120" s="403">
        <v>0</v>
      </c>
      <c r="N120" s="282" t="s">
        <v>139</v>
      </c>
      <c r="O120" s="302" t="str">
        <f>IF(OR(M120=0,N120="NA"),"NA",IFERROR(INDEX('Data - Reference'!$B$37:$B$50,MATCH('Unit Summary - Rent Roll'!$M120,INDEX('Data - Reference'!$B$37:$J$50,,MATCH('Unit Summary - Rent Roll'!$N120,'Data - Reference'!$B$37:$J$37,0)),-1),1),"NA"))</f>
        <v>NA</v>
      </c>
      <c r="P120" s="239" t="s">
        <v>85</v>
      </c>
      <c r="Q120" s="239" t="s">
        <v>85</v>
      </c>
      <c r="R120" s="188">
        <v>0</v>
      </c>
      <c r="S120" s="364">
        <f t="shared" si="23"/>
        <v>0</v>
      </c>
      <c r="T120" s="97">
        <f t="shared" si="24"/>
        <v>0</v>
      </c>
      <c r="U120" s="188">
        <v>0</v>
      </c>
      <c r="V120" s="364">
        <f t="shared" si="25"/>
        <v>0</v>
      </c>
      <c r="W120" s="97">
        <f t="shared" si="26"/>
        <v>0</v>
      </c>
      <c r="X120" s="71">
        <f>IFERROR(IF(INDEX(AC$14:AC$18,MATCH($E120,$AB$14:$AB$18,0))&lt;&gt;0,INDEX(AC$14:AC$18,MATCH($E120,$AB$14:$AB$18,0)),
IF($M120="Market",0,IF($L120="HUD FMR",INDEX('Data - Reference'!$B$31:$G$31,MATCH($E120,'Data - Reference'!$B$9:$G$9,0)),INDEX('Data - Reference'!$B$9:$G$31,MATCH($K120,'Data - Reference'!$B$9:$B$31,0),MATCH($E120,'Data - Reference'!$B$9:$G$9,0))))),0)</f>
        <v>0</v>
      </c>
      <c r="Y120" s="71">
        <f>IFERROR(IF(INDEX(AD$14:AD$18,MATCH($E120,$AB$14:$AB$18,0))&lt;&gt;0,INDEX(AD$14:AD$18,MATCH($E120,$AB$14:$AB$18,0)),
IF($K120="None - Market",0,-INDEX('Data - Reference'!$B$32:$G$32,MATCH($E120,'Data - Reference'!$B$9:$G$9,0)))),0)</f>
        <v>0</v>
      </c>
      <c r="Z120" s="74">
        <f t="shared" si="20"/>
        <v>0</v>
      </c>
      <c r="AA120" s="67">
        <f t="shared" si="27"/>
        <v>0</v>
      </c>
      <c r="AB120" s="97">
        <f t="shared" si="28"/>
        <v>0</v>
      </c>
      <c r="AC120" s="82">
        <f t="shared" si="5"/>
        <v>0</v>
      </c>
      <c r="AD120" s="83">
        <f t="shared" si="29"/>
        <v>0</v>
      </c>
      <c r="AE120" s="97">
        <f t="shared" si="30"/>
        <v>0</v>
      </c>
      <c r="AF120" s="415" t="str">
        <f t="shared" si="21"/>
        <v>NA</v>
      </c>
      <c r="AG120" s="420" t="str">
        <f t="shared" si="31"/>
        <v>NA</v>
      </c>
      <c r="AH120" s="420" t="str">
        <f t="shared" si="32"/>
        <v>NA</v>
      </c>
      <c r="AI120" s="417" t="str">
        <f t="shared" si="4"/>
        <v>NA</v>
      </c>
      <c r="AJ120" s="417" t="str">
        <f t="shared" si="33"/>
        <v>NA</v>
      </c>
      <c r="AK120" s="524" t="str">
        <f>IFERROR(INDEX('Legacy Resident Reference'!R:R,MATCH('Unit Summary - Rent Roll'!AJ120,'Legacy Resident Reference'!P:P,0)),"NA")</f>
        <v>NA</v>
      </c>
    </row>
    <row r="121" spans="2:37" ht="13.8" x14ac:dyDescent="0.3">
      <c r="B121" s="236">
        <v>95</v>
      </c>
      <c r="C121" s="580" t="s">
        <v>143</v>
      </c>
      <c r="D121" s="581"/>
      <c r="E121" s="186" t="s">
        <v>139</v>
      </c>
      <c r="F121" s="187">
        <v>0</v>
      </c>
      <c r="G121" s="239" t="s">
        <v>85</v>
      </c>
      <c r="H121" s="243">
        <v>0</v>
      </c>
      <c r="I121" s="373">
        <f t="shared" si="22"/>
        <v>0</v>
      </c>
      <c r="J121" s="250" t="s">
        <v>139</v>
      </c>
      <c r="K121" s="508" t="s">
        <v>139</v>
      </c>
      <c r="L121" s="399" t="s">
        <v>139</v>
      </c>
      <c r="M121" s="403">
        <v>0</v>
      </c>
      <c r="N121" s="282" t="s">
        <v>139</v>
      </c>
      <c r="O121" s="302" t="str">
        <f>IF(OR(M121=0,N121="NA"),"NA",IFERROR(INDEX('Data - Reference'!$B$37:$B$50,MATCH('Unit Summary - Rent Roll'!$M121,INDEX('Data - Reference'!$B$37:$J$50,,MATCH('Unit Summary - Rent Roll'!$N121,'Data - Reference'!$B$37:$J$37,0)),-1),1),"NA"))</f>
        <v>NA</v>
      </c>
      <c r="P121" s="239" t="s">
        <v>85</v>
      </c>
      <c r="Q121" s="239" t="s">
        <v>85</v>
      </c>
      <c r="R121" s="188">
        <v>0</v>
      </c>
      <c r="S121" s="364">
        <f t="shared" si="23"/>
        <v>0</v>
      </c>
      <c r="T121" s="97">
        <f t="shared" si="24"/>
        <v>0</v>
      </c>
      <c r="U121" s="188">
        <v>0</v>
      </c>
      <c r="V121" s="364">
        <f t="shared" si="25"/>
        <v>0</v>
      </c>
      <c r="W121" s="97">
        <f t="shared" si="26"/>
        <v>0</v>
      </c>
      <c r="X121" s="71">
        <f>IFERROR(IF(INDEX(AC$14:AC$18,MATCH($E121,$AB$14:$AB$18,0))&lt;&gt;0,INDEX(AC$14:AC$18,MATCH($E121,$AB$14:$AB$18,0)),
IF($M121="Market",0,IF($L121="HUD FMR",INDEX('Data - Reference'!$B$31:$G$31,MATCH($E121,'Data - Reference'!$B$9:$G$9,0)),INDEX('Data - Reference'!$B$9:$G$31,MATCH($K121,'Data - Reference'!$B$9:$B$31,0),MATCH($E121,'Data - Reference'!$B$9:$G$9,0))))),0)</f>
        <v>0</v>
      </c>
      <c r="Y121" s="71">
        <f>IFERROR(IF(INDEX(AD$14:AD$18,MATCH($E121,$AB$14:$AB$18,0))&lt;&gt;0,INDEX(AD$14:AD$18,MATCH($E121,$AB$14:$AB$18,0)),
IF($K121="None - Market",0,-INDEX('Data - Reference'!$B$32:$G$32,MATCH($E121,'Data - Reference'!$B$9:$G$9,0)))),0)</f>
        <v>0</v>
      </c>
      <c r="Z121" s="74">
        <f t="shared" si="20"/>
        <v>0</v>
      </c>
      <c r="AA121" s="67">
        <f t="shared" si="27"/>
        <v>0</v>
      </c>
      <c r="AB121" s="97">
        <f t="shared" si="28"/>
        <v>0</v>
      </c>
      <c r="AC121" s="82">
        <f t="shared" si="5"/>
        <v>0</v>
      </c>
      <c r="AD121" s="83">
        <f t="shared" si="29"/>
        <v>0</v>
      </c>
      <c r="AE121" s="97">
        <f t="shared" si="30"/>
        <v>0</v>
      </c>
      <c r="AF121" s="415" t="str">
        <f t="shared" si="21"/>
        <v>NA</v>
      </c>
      <c r="AG121" s="420" t="str">
        <f t="shared" si="31"/>
        <v>NA</v>
      </c>
      <c r="AH121" s="420" t="str">
        <f t="shared" si="32"/>
        <v>NA</v>
      </c>
      <c r="AI121" s="417" t="str">
        <f t="shared" si="4"/>
        <v>NA</v>
      </c>
      <c r="AJ121" s="417" t="str">
        <f t="shared" si="33"/>
        <v>NA</v>
      </c>
      <c r="AK121" s="524" t="str">
        <f>IFERROR(INDEX('Legacy Resident Reference'!R:R,MATCH('Unit Summary - Rent Roll'!AJ121,'Legacy Resident Reference'!P:P,0)),"NA")</f>
        <v>NA</v>
      </c>
    </row>
    <row r="122" spans="2:37" ht="13.8" x14ac:dyDescent="0.3">
      <c r="B122" s="236">
        <v>96</v>
      </c>
      <c r="C122" s="580" t="s">
        <v>143</v>
      </c>
      <c r="D122" s="581"/>
      <c r="E122" s="186" t="s">
        <v>139</v>
      </c>
      <c r="F122" s="187">
        <v>0</v>
      </c>
      <c r="G122" s="239" t="s">
        <v>85</v>
      </c>
      <c r="H122" s="243">
        <v>0</v>
      </c>
      <c r="I122" s="373">
        <f t="shared" si="22"/>
        <v>0</v>
      </c>
      <c r="J122" s="250" t="s">
        <v>139</v>
      </c>
      <c r="K122" s="508" t="s">
        <v>139</v>
      </c>
      <c r="L122" s="399" t="s">
        <v>139</v>
      </c>
      <c r="M122" s="403">
        <v>0</v>
      </c>
      <c r="N122" s="282" t="s">
        <v>139</v>
      </c>
      <c r="O122" s="302" t="str">
        <f>IF(OR(M122=0,N122="NA"),"NA",IFERROR(INDEX('Data - Reference'!$B$37:$B$50,MATCH('Unit Summary - Rent Roll'!$M122,INDEX('Data - Reference'!$B$37:$J$50,,MATCH('Unit Summary - Rent Roll'!$N122,'Data - Reference'!$B$37:$J$37,0)),-1),1),"NA"))</f>
        <v>NA</v>
      </c>
      <c r="P122" s="239" t="s">
        <v>85</v>
      </c>
      <c r="Q122" s="239" t="s">
        <v>85</v>
      </c>
      <c r="R122" s="188">
        <v>0</v>
      </c>
      <c r="S122" s="364">
        <f t="shared" si="23"/>
        <v>0</v>
      </c>
      <c r="T122" s="97">
        <f t="shared" si="24"/>
        <v>0</v>
      </c>
      <c r="U122" s="188">
        <v>0</v>
      </c>
      <c r="V122" s="364">
        <f t="shared" si="25"/>
        <v>0</v>
      </c>
      <c r="W122" s="97">
        <f t="shared" si="26"/>
        <v>0</v>
      </c>
      <c r="X122" s="71">
        <f>IFERROR(IF(INDEX(AC$14:AC$18,MATCH($E122,$AB$14:$AB$18,0))&lt;&gt;0,INDEX(AC$14:AC$18,MATCH($E122,$AB$14:$AB$18,0)),
IF($M122="Market",0,IF($L122="HUD FMR",INDEX('Data - Reference'!$B$31:$G$31,MATCH($E122,'Data - Reference'!$B$9:$G$9,0)),INDEX('Data - Reference'!$B$9:$G$31,MATCH($K122,'Data - Reference'!$B$9:$B$31,0),MATCH($E122,'Data - Reference'!$B$9:$G$9,0))))),0)</f>
        <v>0</v>
      </c>
      <c r="Y122" s="71">
        <f>IFERROR(IF(INDEX(AD$14:AD$18,MATCH($E122,$AB$14:$AB$18,0))&lt;&gt;0,INDEX(AD$14:AD$18,MATCH($E122,$AB$14:$AB$18,0)),
IF($K122="None - Market",0,-INDEX('Data - Reference'!$B$32:$G$32,MATCH($E122,'Data - Reference'!$B$9:$G$9,0)))),0)</f>
        <v>0</v>
      </c>
      <c r="Z122" s="74">
        <f t="shared" si="20"/>
        <v>0</v>
      </c>
      <c r="AA122" s="67">
        <f t="shared" si="27"/>
        <v>0</v>
      </c>
      <c r="AB122" s="97">
        <f t="shared" si="28"/>
        <v>0</v>
      </c>
      <c r="AC122" s="82">
        <f t="shared" si="5"/>
        <v>0</v>
      </c>
      <c r="AD122" s="83">
        <f t="shared" si="29"/>
        <v>0</v>
      </c>
      <c r="AE122" s="97">
        <f t="shared" si="30"/>
        <v>0</v>
      </c>
      <c r="AF122" s="415" t="str">
        <f t="shared" si="21"/>
        <v>NA</v>
      </c>
      <c r="AG122" s="420" t="str">
        <f t="shared" si="31"/>
        <v>NA</v>
      </c>
      <c r="AH122" s="420" t="str">
        <f t="shared" si="32"/>
        <v>NA</v>
      </c>
      <c r="AI122" s="417" t="str">
        <f t="shared" si="4"/>
        <v>NA</v>
      </c>
      <c r="AJ122" s="417" t="str">
        <f t="shared" si="33"/>
        <v>NA</v>
      </c>
      <c r="AK122" s="524" t="str">
        <f>IFERROR(INDEX('Legacy Resident Reference'!R:R,MATCH('Unit Summary - Rent Roll'!AJ122,'Legacy Resident Reference'!P:P,0)),"NA")</f>
        <v>NA</v>
      </c>
    </row>
    <row r="123" spans="2:37" ht="13.8" x14ac:dyDescent="0.3">
      <c r="B123" s="236">
        <v>97</v>
      </c>
      <c r="C123" s="580" t="s">
        <v>143</v>
      </c>
      <c r="D123" s="581"/>
      <c r="E123" s="186" t="s">
        <v>139</v>
      </c>
      <c r="F123" s="187">
        <v>0</v>
      </c>
      <c r="G123" s="239" t="s">
        <v>85</v>
      </c>
      <c r="H123" s="243">
        <v>0</v>
      </c>
      <c r="I123" s="373">
        <f t="shared" si="22"/>
        <v>0</v>
      </c>
      <c r="J123" s="250" t="s">
        <v>139</v>
      </c>
      <c r="K123" s="508" t="s">
        <v>139</v>
      </c>
      <c r="L123" s="399" t="s">
        <v>139</v>
      </c>
      <c r="M123" s="403">
        <v>0</v>
      </c>
      <c r="N123" s="282" t="s">
        <v>139</v>
      </c>
      <c r="O123" s="302" t="str">
        <f>IF(OR(M123=0,N123="NA"),"NA",IFERROR(INDEX('Data - Reference'!$B$37:$B$50,MATCH('Unit Summary - Rent Roll'!$M123,INDEX('Data - Reference'!$B$37:$J$50,,MATCH('Unit Summary - Rent Roll'!$N123,'Data - Reference'!$B$37:$J$37,0)),-1),1),"NA"))</f>
        <v>NA</v>
      </c>
      <c r="P123" s="239" t="s">
        <v>85</v>
      </c>
      <c r="Q123" s="239" t="s">
        <v>85</v>
      </c>
      <c r="R123" s="188">
        <v>0</v>
      </c>
      <c r="S123" s="364">
        <f t="shared" si="23"/>
        <v>0</v>
      </c>
      <c r="T123" s="97">
        <f t="shared" si="24"/>
        <v>0</v>
      </c>
      <c r="U123" s="188">
        <v>0</v>
      </c>
      <c r="V123" s="364">
        <f t="shared" si="25"/>
        <v>0</v>
      </c>
      <c r="W123" s="97">
        <f t="shared" si="26"/>
        <v>0</v>
      </c>
      <c r="X123" s="71">
        <f>IFERROR(IF(INDEX(AC$14:AC$18,MATCH($E123,$AB$14:$AB$18,0))&lt;&gt;0,INDEX(AC$14:AC$18,MATCH($E123,$AB$14:$AB$18,0)),
IF($M123="Market",0,IF($L123="HUD FMR",INDEX('Data - Reference'!$B$31:$G$31,MATCH($E123,'Data - Reference'!$B$9:$G$9,0)),INDEX('Data - Reference'!$B$9:$G$31,MATCH($K123,'Data - Reference'!$B$9:$B$31,0),MATCH($E123,'Data - Reference'!$B$9:$G$9,0))))),0)</f>
        <v>0</v>
      </c>
      <c r="Y123" s="71">
        <f>IFERROR(IF(INDEX(AD$14:AD$18,MATCH($E123,$AB$14:$AB$18,0))&lt;&gt;0,INDEX(AD$14:AD$18,MATCH($E123,$AB$14:$AB$18,0)),
IF($K123="None - Market",0,-INDEX('Data - Reference'!$B$32:$G$32,MATCH($E123,'Data - Reference'!$B$9:$G$9,0)))),0)</f>
        <v>0</v>
      </c>
      <c r="Z123" s="74">
        <f t="shared" si="20"/>
        <v>0</v>
      </c>
      <c r="AA123" s="67">
        <f t="shared" si="27"/>
        <v>0</v>
      </c>
      <c r="AB123" s="97">
        <f t="shared" si="28"/>
        <v>0</v>
      </c>
      <c r="AC123" s="82">
        <f t="shared" si="5"/>
        <v>0</v>
      </c>
      <c r="AD123" s="83">
        <f t="shared" si="29"/>
        <v>0</v>
      </c>
      <c r="AE123" s="97">
        <f t="shared" si="30"/>
        <v>0</v>
      </c>
      <c r="AF123" s="415" t="str">
        <f t="shared" si="21"/>
        <v>NA</v>
      </c>
      <c r="AG123" s="420" t="str">
        <f t="shared" si="31"/>
        <v>NA</v>
      </c>
      <c r="AH123" s="420" t="str">
        <f t="shared" si="32"/>
        <v>NA</v>
      </c>
      <c r="AI123" s="417" t="str">
        <f t="shared" si="4"/>
        <v>NA</v>
      </c>
      <c r="AJ123" s="417" t="str">
        <f t="shared" si="33"/>
        <v>NA</v>
      </c>
      <c r="AK123" s="524" t="str">
        <f>IFERROR(INDEX('Legacy Resident Reference'!R:R,MATCH('Unit Summary - Rent Roll'!AJ123,'Legacy Resident Reference'!P:P,0)),"NA")</f>
        <v>NA</v>
      </c>
    </row>
    <row r="124" spans="2:37" ht="13.8" x14ac:dyDescent="0.3">
      <c r="B124" s="236">
        <v>98</v>
      </c>
      <c r="C124" s="580" t="s">
        <v>143</v>
      </c>
      <c r="D124" s="581"/>
      <c r="E124" s="186" t="s">
        <v>139</v>
      </c>
      <c r="F124" s="187">
        <v>0</v>
      </c>
      <c r="G124" s="239" t="s">
        <v>85</v>
      </c>
      <c r="H124" s="243">
        <v>0</v>
      </c>
      <c r="I124" s="373">
        <f t="shared" si="22"/>
        <v>0</v>
      </c>
      <c r="J124" s="250" t="s">
        <v>139</v>
      </c>
      <c r="K124" s="508" t="s">
        <v>139</v>
      </c>
      <c r="L124" s="399" t="s">
        <v>139</v>
      </c>
      <c r="M124" s="403">
        <v>0</v>
      </c>
      <c r="N124" s="282" t="s">
        <v>139</v>
      </c>
      <c r="O124" s="302" t="str">
        <f>IF(OR(M124=0,N124="NA"),"NA",IFERROR(INDEX('Data - Reference'!$B$37:$B$50,MATCH('Unit Summary - Rent Roll'!$M124,INDEX('Data - Reference'!$B$37:$J$50,,MATCH('Unit Summary - Rent Roll'!$N124,'Data - Reference'!$B$37:$J$37,0)),-1),1),"NA"))</f>
        <v>NA</v>
      </c>
      <c r="P124" s="239" t="s">
        <v>85</v>
      </c>
      <c r="Q124" s="239" t="s">
        <v>85</v>
      </c>
      <c r="R124" s="188">
        <v>0</v>
      </c>
      <c r="S124" s="364">
        <f t="shared" si="23"/>
        <v>0</v>
      </c>
      <c r="T124" s="97">
        <f t="shared" si="24"/>
        <v>0</v>
      </c>
      <c r="U124" s="188">
        <v>0</v>
      </c>
      <c r="V124" s="364">
        <f t="shared" si="25"/>
        <v>0</v>
      </c>
      <c r="W124" s="97">
        <f t="shared" si="26"/>
        <v>0</v>
      </c>
      <c r="X124" s="71">
        <f>IFERROR(IF(INDEX(AC$14:AC$18,MATCH($E124,$AB$14:$AB$18,0))&lt;&gt;0,INDEX(AC$14:AC$18,MATCH($E124,$AB$14:$AB$18,0)),
IF($M124="Market",0,IF($L124="HUD FMR",INDEX('Data - Reference'!$B$31:$G$31,MATCH($E124,'Data - Reference'!$B$9:$G$9,0)),INDEX('Data - Reference'!$B$9:$G$31,MATCH($K124,'Data - Reference'!$B$9:$B$31,0),MATCH($E124,'Data - Reference'!$B$9:$G$9,0))))),0)</f>
        <v>0</v>
      </c>
      <c r="Y124" s="71">
        <f>IFERROR(IF(INDEX(AD$14:AD$18,MATCH($E124,$AB$14:$AB$18,0))&lt;&gt;0,INDEX(AD$14:AD$18,MATCH($E124,$AB$14:$AB$18,0)),
IF($K124="None - Market",0,-INDEX('Data - Reference'!$B$32:$G$32,MATCH($E124,'Data - Reference'!$B$9:$G$9,0)))),0)</f>
        <v>0</v>
      </c>
      <c r="Z124" s="74">
        <f t="shared" si="20"/>
        <v>0</v>
      </c>
      <c r="AA124" s="67">
        <f t="shared" si="27"/>
        <v>0</v>
      </c>
      <c r="AB124" s="97">
        <f t="shared" si="28"/>
        <v>0</v>
      </c>
      <c r="AC124" s="82">
        <f t="shared" ref="AC124:AC129" si="34">IF(AND($R124=$U124,$R124&gt;0,$U124&gt;0,$Z124&gt;0),MIN($R124,$U124,$Z124),
IF(AND($R124&lt;$U124,$Z124&gt;0),MIN($U124,$Z124),
$U124))</f>
        <v>0</v>
      </c>
      <c r="AD124" s="83">
        <f t="shared" si="29"/>
        <v>0</v>
      </c>
      <c r="AE124" s="97">
        <f t="shared" si="30"/>
        <v>0</v>
      </c>
      <c r="AF124" s="415" t="str">
        <f t="shared" si="21"/>
        <v>NA</v>
      </c>
      <c r="AG124" s="420" t="str">
        <f t="shared" si="31"/>
        <v>NA</v>
      </c>
      <c r="AH124" s="420" t="str">
        <f t="shared" si="32"/>
        <v>NA</v>
      </c>
      <c r="AI124" s="417" t="str">
        <f t="shared" si="4"/>
        <v>NA</v>
      </c>
      <c r="AJ124" s="417" t="str">
        <f t="shared" si="33"/>
        <v>NA</v>
      </c>
      <c r="AK124" s="524" t="str">
        <f>IFERROR(INDEX('Legacy Resident Reference'!R:R,MATCH('Unit Summary - Rent Roll'!AJ124,'Legacy Resident Reference'!P:P,0)),"NA")</f>
        <v>NA</v>
      </c>
    </row>
    <row r="125" spans="2:37" ht="13.8" x14ac:dyDescent="0.3">
      <c r="B125" s="236">
        <v>99</v>
      </c>
      <c r="C125" s="580" t="s">
        <v>143</v>
      </c>
      <c r="D125" s="581"/>
      <c r="E125" s="186" t="s">
        <v>139</v>
      </c>
      <c r="F125" s="187">
        <v>0</v>
      </c>
      <c r="G125" s="239" t="s">
        <v>85</v>
      </c>
      <c r="H125" s="243">
        <v>0</v>
      </c>
      <c r="I125" s="373">
        <f t="shared" si="22"/>
        <v>0</v>
      </c>
      <c r="J125" s="250" t="s">
        <v>139</v>
      </c>
      <c r="K125" s="508" t="s">
        <v>139</v>
      </c>
      <c r="L125" s="399" t="s">
        <v>139</v>
      </c>
      <c r="M125" s="403">
        <v>0</v>
      </c>
      <c r="N125" s="282" t="s">
        <v>139</v>
      </c>
      <c r="O125" s="302" t="str">
        <f>IF(OR(M125=0,N125="NA"),"NA",IFERROR(INDEX('Data - Reference'!$B$37:$B$50,MATCH('Unit Summary - Rent Roll'!$M125,INDEX('Data - Reference'!$B$37:$J$50,,MATCH('Unit Summary - Rent Roll'!$N125,'Data - Reference'!$B$37:$J$37,0)),-1),1),"NA"))</f>
        <v>NA</v>
      </c>
      <c r="P125" s="239" t="s">
        <v>85</v>
      </c>
      <c r="Q125" s="239" t="s">
        <v>85</v>
      </c>
      <c r="R125" s="188">
        <v>0</v>
      </c>
      <c r="S125" s="364">
        <f t="shared" si="23"/>
        <v>0</v>
      </c>
      <c r="T125" s="97">
        <f t="shared" si="24"/>
        <v>0</v>
      </c>
      <c r="U125" s="188">
        <v>0</v>
      </c>
      <c r="V125" s="364">
        <f t="shared" si="25"/>
        <v>0</v>
      </c>
      <c r="W125" s="97">
        <f t="shared" si="26"/>
        <v>0</v>
      </c>
      <c r="X125" s="71">
        <f>IFERROR(IF(INDEX(AC$14:AC$18,MATCH($E125,$AB$14:$AB$18,0))&lt;&gt;0,INDEX(AC$14:AC$18,MATCH($E125,$AB$14:$AB$18,0)),
IF($M125="Market",0,IF($L125="HUD FMR",INDEX('Data - Reference'!$B$31:$G$31,MATCH($E125,'Data - Reference'!$B$9:$G$9,0)),INDEX('Data - Reference'!$B$9:$G$31,MATCH($K125,'Data - Reference'!$B$9:$B$31,0),MATCH($E125,'Data - Reference'!$B$9:$G$9,0))))),0)</f>
        <v>0</v>
      </c>
      <c r="Y125" s="71">
        <f>IFERROR(IF(INDEX(AD$14:AD$18,MATCH($E125,$AB$14:$AB$18,0))&lt;&gt;0,INDEX(AD$14:AD$18,MATCH($E125,$AB$14:$AB$18,0)),
IF($K125="None - Market",0,-INDEX('Data - Reference'!$B$32:$G$32,MATCH($E125,'Data - Reference'!$B$9:$G$9,0)))),0)</f>
        <v>0</v>
      </c>
      <c r="Z125" s="74">
        <f t="shared" si="20"/>
        <v>0</v>
      </c>
      <c r="AA125" s="67">
        <f t="shared" si="27"/>
        <v>0</v>
      </c>
      <c r="AB125" s="97">
        <f t="shared" si="28"/>
        <v>0</v>
      </c>
      <c r="AC125" s="82">
        <f t="shared" si="34"/>
        <v>0</v>
      </c>
      <c r="AD125" s="83">
        <f t="shared" si="29"/>
        <v>0</v>
      </c>
      <c r="AE125" s="97">
        <f t="shared" si="30"/>
        <v>0</v>
      </c>
      <c r="AF125" s="415" t="str">
        <f t="shared" si="21"/>
        <v>NA</v>
      </c>
      <c r="AG125" s="420" t="str">
        <f t="shared" si="31"/>
        <v>NA</v>
      </c>
      <c r="AH125" s="420" t="str">
        <f>IFERROR(IF(OR(G125="N",AE125=0),"NA",
IF(M125=0,"Input Current Household Income",
IF(G125="Y",IF(OR(J125="PBV - Income-Restricted",J125="PBRA - Income-Restricted",(U125-Y125)&lt;=M125/12*0.3),"Y","N"),"NA"))),"NA")</f>
        <v>NA</v>
      </c>
      <c r="AI125" s="417" t="str">
        <f t="shared" si="4"/>
        <v>NA</v>
      </c>
      <c r="AJ125" s="417" t="str">
        <f t="shared" si="33"/>
        <v>NA</v>
      </c>
      <c r="AK125" s="524" t="str">
        <f>IFERROR(INDEX('Legacy Resident Reference'!R:R,MATCH('Unit Summary - Rent Roll'!AJ125,'Legacy Resident Reference'!P:P,0)),"NA")</f>
        <v>NA</v>
      </c>
    </row>
    <row r="126" spans="2:37" ht="13.8" x14ac:dyDescent="0.3">
      <c r="B126" s="236">
        <v>100</v>
      </c>
      <c r="C126" s="580" t="s">
        <v>143</v>
      </c>
      <c r="D126" s="581"/>
      <c r="E126" s="186" t="s">
        <v>139</v>
      </c>
      <c r="F126" s="187">
        <v>0</v>
      </c>
      <c r="G126" s="239" t="s">
        <v>85</v>
      </c>
      <c r="H126" s="243">
        <v>0</v>
      </c>
      <c r="I126" s="373">
        <f t="shared" si="22"/>
        <v>0</v>
      </c>
      <c r="J126" s="250" t="s">
        <v>139</v>
      </c>
      <c r="K126" s="508" t="s">
        <v>139</v>
      </c>
      <c r="L126" s="399" t="s">
        <v>139</v>
      </c>
      <c r="M126" s="403">
        <v>0</v>
      </c>
      <c r="N126" s="282" t="s">
        <v>139</v>
      </c>
      <c r="O126" s="302" t="str">
        <f>IF(OR(M126=0,N126="NA"),"NA",IFERROR(INDEX('Data - Reference'!$B$37:$B$50,MATCH('Unit Summary - Rent Roll'!$M126,INDEX('Data - Reference'!$B$37:$J$50,,MATCH('Unit Summary - Rent Roll'!$N126,'Data - Reference'!$B$37:$J$37,0)),-1),1),"NA"))</f>
        <v>NA</v>
      </c>
      <c r="P126" s="239" t="s">
        <v>85</v>
      </c>
      <c r="Q126" s="239" t="s">
        <v>85</v>
      </c>
      <c r="R126" s="188">
        <v>0</v>
      </c>
      <c r="S126" s="364">
        <f t="shared" si="23"/>
        <v>0</v>
      </c>
      <c r="T126" s="97">
        <f t="shared" si="24"/>
        <v>0</v>
      </c>
      <c r="U126" s="188">
        <v>0</v>
      </c>
      <c r="V126" s="364">
        <f t="shared" si="25"/>
        <v>0</v>
      </c>
      <c r="W126" s="97">
        <f t="shared" si="26"/>
        <v>0</v>
      </c>
      <c r="X126" s="71">
        <f>IFERROR(IF(INDEX(AC$14:AC$18,MATCH($E126,$AB$14:$AB$18,0))&lt;&gt;0,INDEX(AC$14:AC$18,MATCH($E126,$AB$14:$AB$18,0)),
IF($M126="Market",0,IF($L126="HUD FMR",INDEX('Data - Reference'!$B$31:$G$31,MATCH($E126,'Data - Reference'!$B$9:$G$9,0)),INDEX('Data - Reference'!$B$9:$G$31,MATCH($K126,'Data - Reference'!$B$9:$B$31,0),MATCH($E126,'Data - Reference'!$B$9:$G$9,0))))),0)</f>
        <v>0</v>
      </c>
      <c r="Y126" s="71">
        <f>IFERROR(IF(INDEX(AD$14:AD$18,MATCH($E126,$AB$14:$AB$18,0))&lt;&gt;0,INDEX(AD$14:AD$18,MATCH($E126,$AB$14:$AB$18,0)),
IF($K126="None - Market",0,-INDEX('Data - Reference'!$B$32:$G$32,MATCH($E126,'Data - Reference'!$B$9:$G$9,0)))),0)</f>
        <v>0</v>
      </c>
      <c r="Z126" s="74">
        <f t="shared" si="20"/>
        <v>0</v>
      </c>
      <c r="AA126" s="67">
        <f t="shared" si="27"/>
        <v>0</v>
      </c>
      <c r="AB126" s="97">
        <f t="shared" si="28"/>
        <v>0</v>
      </c>
      <c r="AC126" s="82">
        <f t="shared" si="34"/>
        <v>0</v>
      </c>
      <c r="AD126" s="83">
        <f t="shared" si="29"/>
        <v>0</v>
      </c>
      <c r="AE126" s="97">
        <f t="shared" si="30"/>
        <v>0</v>
      </c>
      <c r="AF126" s="415" t="str">
        <f t="shared" si="21"/>
        <v>NA</v>
      </c>
      <c r="AG126" s="537" t="str">
        <f t="shared" si="31"/>
        <v>NA</v>
      </c>
      <c r="AH126" s="420" t="str">
        <f t="shared" si="32"/>
        <v>NA</v>
      </c>
      <c r="AI126" s="417" t="str">
        <f t="shared" si="4"/>
        <v>NA</v>
      </c>
      <c r="AJ126" s="417" t="str">
        <f t="shared" si="33"/>
        <v>NA</v>
      </c>
      <c r="AK126" s="524" t="str">
        <f>IFERROR(INDEX('Legacy Resident Reference'!R:R,MATCH('Unit Summary - Rent Roll'!AJ126,'Legacy Resident Reference'!P:P,0)),"NA")</f>
        <v>NA</v>
      </c>
    </row>
    <row r="127" spans="2:37" ht="13.8" hidden="1" outlineLevel="1" x14ac:dyDescent="0.3">
      <c r="B127" s="236">
        <v>101</v>
      </c>
      <c r="C127" s="580" t="s">
        <v>143</v>
      </c>
      <c r="D127" s="581"/>
      <c r="E127" s="186" t="s">
        <v>139</v>
      </c>
      <c r="F127" s="187">
        <v>0</v>
      </c>
      <c r="G127" s="239" t="s">
        <v>85</v>
      </c>
      <c r="H127" s="243">
        <v>0</v>
      </c>
      <c r="I127" s="373">
        <f t="shared" si="22"/>
        <v>0</v>
      </c>
      <c r="J127" s="250" t="s">
        <v>139</v>
      </c>
      <c r="K127" s="508" t="s">
        <v>139</v>
      </c>
      <c r="L127" s="399" t="s">
        <v>139</v>
      </c>
      <c r="M127" s="403">
        <v>0</v>
      </c>
      <c r="N127" s="282" t="s">
        <v>139</v>
      </c>
      <c r="O127" s="302" t="str">
        <f>IF(OR(M127=0,N127="NA"),"NA",IFERROR(INDEX('Data - Reference'!$B$37:$B$50,MATCH('Unit Summary - Rent Roll'!$M127,INDEX('Data - Reference'!$B$37:$J$50,,MATCH('Unit Summary - Rent Roll'!$N127,'Data - Reference'!$B$37:$J$37,0)),-1),1),"NA"))</f>
        <v>NA</v>
      </c>
      <c r="P127" s="239" t="s">
        <v>85</v>
      </c>
      <c r="Q127" s="239" t="s">
        <v>85</v>
      </c>
      <c r="R127" s="188">
        <v>0</v>
      </c>
      <c r="S127" s="364">
        <f t="shared" si="23"/>
        <v>0</v>
      </c>
      <c r="T127" s="97">
        <f t="shared" si="24"/>
        <v>0</v>
      </c>
      <c r="U127" s="188">
        <v>0</v>
      </c>
      <c r="V127" s="364">
        <f t="shared" si="25"/>
        <v>0</v>
      </c>
      <c r="W127" s="97">
        <f t="shared" si="26"/>
        <v>0</v>
      </c>
      <c r="X127" s="71">
        <f>IFERROR(IF(INDEX(AC$14:AC$18,MATCH($E127,$AB$14:$AB$18,0))&lt;&gt;0,INDEX(AC$14:AC$18,MATCH($E127,$AB$14:$AB$18,0)),
IF($M127="Market",0,IF($L127="HUD FMR",INDEX('Data - Reference'!$B$31:$G$31,MATCH($E127,'Data - Reference'!$B$9:$G$9,0)),INDEX('Data - Reference'!$B$9:$G$31,MATCH($K127,'Data - Reference'!$B$9:$B$31,0),MATCH($E127,'Data - Reference'!$B$9:$G$9,0))))),0)</f>
        <v>0</v>
      </c>
      <c r="Y127" s="71">
        <f>IFERROR(IF(INDEX(AD$14:AD$18,MATCH($E127,$AB$14:$AB$18,0))&lt;&gt;0,INDEX(AD$14:AD$18,MATCH($E127,$AB$14:$AB$18,0)),
IF($K127="None - Market",0,-INDEX('Data - Reference'!$B$32:$G$32,MATCH($E127,'Data - Reference'!$B$9:$G$9,0)))),0)</f>
        <v>0</v>
      </c>
      <c r="Z127" s="74">
        <f t="shared" si="20"/>
        <v>0</v>
      </c>
      <c r="AA127" s="67">
        <f t="shared" si="27"/>
        <v>0</v>
      </c>
      <c r="AB127" s="97">
        <f t="shared" si="28"/>
        <v>0</v>
      </c>
      <c r="AC127" s="82">
        <f t="shared" si="34"/>
        <v>0</v>
      </c>
      <c r="AD127" s="83">
        <f t="shared" si="29"/>
        <v>0</v>
      </c>
      <c r="AE127" s="97">
        <f t="shared" si="30"/>
        <v>0</v>
      </c>
      <c r="AF127" s="415" t="str">
        <f t="shared" si="21"/>
        <v>NA</v>
      </c>
      <c r="AG127" s="420" t="str">
        <f t="shared" si="31"/>
        <v>NA</v>
      </c>
      <c r="AH127" s="420" t="str">
        <f t="shared" si="32"/>
        <v>NA</v>
      </c>
      <c r="AI127" s="417" t="str">
        <f t="shared" si="4"/>
        <v>NA</v>
      </c>
      <c r="AJ127" s="417" t="str">
        <f t="shared" si="33"/>
        <v>NA</v>
      </c>
      <c r="AK127" s="524" t="str">
        <f>IFERROR(INDEX('Legacy Resident Reference'!R:R,MATCH('Unit Summary - Rent Roll'!AJ127,'Legacy Resident Reference'!P:P,0)),"NA")</f>
        <v>NA</v>
      </c>
    </row>
    <row r="128" spans="2:37" ht="13.8" hidden="1" outlineLevel="1" x14ac:dyDescent="0.3">
      <c r="B128" s="236">
        <v>102</v>
      </c>
      <c r="C128" s="580" t="s">
        <v>143</v>
      </c>
      <c r="D128" s="581"/>
      <c r="E128" s="186" t="s">
        <v>139</v>
      </c>
      <c r="F128" s="187">
        <v>0</v>
      </c>
      <c r="G128" s="239" t="s">
        <v>85</v>
      </c>
      <c r="H128" s="243">
        <v>0</v>
      </c>
      <c r="I128" s="373">
        <f t="shared" si="22"/>
        <v>0</v>
      </c>
      <c r="J128" s="250" t="s">
        <v>139</v>
      </c>
      <c r="K128" s="508" t="s">
        <v>139</v>
      </c>
      <c r="L128" s="399" t="s">
        <v>139</v>
      </c>
      <c r="M128" s="403">
        <v>0</v>
      </c>
      <c r="N128" s="282" t="s">
        <v>139</v>
      </c>
      <c r="O128" s="302" t="str">
        <f>IF(OR(M128=0,N128="NA"),"NA",IFERROR(INDEX('Data - Reference'!$B$37:$B$50,MATCH('Unit Summary - Rent Roll'!$M128,INDEX('Data - Reference'!$B$37:$J$50,,MATCH('Unit Summary - Rent Roll'!$N128,'Data - Reference'!$B$37:$J$37,0)),-1),1),"NA"))</f>
        <v>NA</v>
      </c>
      <c r="P128" s="239" t="s">
        <v>85</v>
      </c>
      <c r="Q128" s="239" t="s">
        <v>85</v>
      </c>
      <c r="R128" s="188">
        <v>0</v>
      </c>
      <c r="S128" s="364">
        <f t="shared" si="23"/>
        <v>0</v>
      </c>
      <c r="T128" s="97">
        <f t="shared" si="24"/>
        <v>0</v>
      </c>
      <c r="U128" s="188">
        <v>0</v>
      </c>
      <c r="V128" s="364">
        <f t="shared" si="25"/>
        <v>0</v>
      </c>
      <c r="W128" s="97">
        <f t="shared" si="26"/>
        <v>0</v>
      </c>
      <c r="X128" s="71">
        <f>IFERROR(IF(INDEX(AC$14:AC$18,MATCH($E128,$AB$14:$AB$18,0))&lt;&gt;0,INDEX(AC$14:AC$18,MATCH($E128,$AB$14:$AB$18,0)),
IF($M128="Market",0,IF($L128="HUD FMR",INDEX('Data - Reference'!$B$31:$G$31,MATCH($E128,'Data - Reference'!$B$9:$G$9,0)),INDEX('Data - Reference'!$B$9:$G$31,MATCH($K128,'Data - Reference'!$B$9:$B$31,0),MATCH($E128,'Data - Reference'!$B$9:$G$9,0))))),0)</f>
        <v>0</v>
      </c>
      <c r="Y128" s="71">
        <f>IFERROR(IF(INDEX(AD$14:AD$18,MATCH($E128,$AB$14:$AB$18,0))&lt;&gt;0,INDEX(AD$14:AD$18,MATCH($E128,$AB$14:$AB$18,0)),
IF($K128="None - Market",0,-INDEX('Data - Reference'!$B$32:$G$32,MATCH($E128,'Data - Reference'!$B$9:$G$9,0)))),0)</f>
        <v>0</v>
      </c>
      <c r="Z128" s="74">
        <f t="shared" si="20"/>
        <v>0</v>
      </c>
      <c r="AA128" s="67">
        <f t="shared" si="27"/>
        <v>0</v>
      </c>
      <c r="AB128" s="97">
        <f t="shared" si="28"/>
        <v>0</v>
      </c>
      <c r="AC128" s="82">
        <f t="shared" si="34"/>
        <v>0</v>
      </c>
      <c r="AD128" s="83">
        <f t="shared" si="29"/>
        <v>0</v>
      </c>
      <c r="AE128" s="97">
        <f t="shared" si="30"/>
        <v>0</v>
      </c>
      <c r="AF128" s="415" t="str">
        <f t="shared" si="21"/>
        <v>NA</v>
      </c>
      <c r="AG128" s="420" t="str">
        <f t="shared" si="31"/>
        <v>NA</v>
      </c>
      <c r="AH128" s="420" t="str">
        <f t="shared" si="32"/>
        <v>NA</v>
      </c>
      <c r="AI128" s="417" t="str">
        <f t="shared" si="4"/>
        <v>NA</v>
      </c>
      <c r="AJ128" s="417" t="str">
        <f t="shared" si="33"/>
        <v>NA</v>
      </c>
      <c r="AK128" s="524" t="str">
        <f>IFERROR(INDEX('Legacy Resident Reference'!R:R,MATCH('Unit Summary - Rent Roll'!AJ128,'Legacy Resident Reference'!P:P,0)),"NA")</f>
        <v>NA</v>
      </c>
    </row>
    <row r="129" spans="2:37" ht="13.8" hidden="1" outlineLevel="1" x14ac:dyDescent="0.3">
      <c r="B129" s="236">
        <v>103</v>
      </c>
      <c r="C129" s="580" t="s">
        <v>143</v>
      </c>
      <c r="D129" s="581"/>
      <c r="E129" s="186" t="s">
        <v>139</v>
      </c>
      <c r="F129" s="187">
        <v>0</v>
      </c>
      <c r="G129" s="239" t="s">
        <v>85</v>
      </c>
      <c r="H129" s="243">
        <v>0</v>
      </c>
      <c r="I129" s="373">
        <f t="shared" si="22"/>
        <v>0</v>
      </c>
      <c r="J129" s="250" t="s">
        <v>139</v>
      </c>
      <c r="K129" s="508" t="s">
        <v>139</v>
      </c>
      <c r="L129" s="399" t="s">
        <v>139</v>
      </c>
      <c r="M129" s="403">
        <v>0</v>
      </c>
      <c r="N129" s="282" t="s">
        <v>139</v>
      </c>
      <c r="O129" s="302" t="str">
        <f>IF(OR(M129=0,N129="NA"),"NA",IFERROR(INDEX('Data - Reference'!$B$37:$B$50,MATCH('Unit Summary - Rent Roll'!$M129,INDEX('Data - Reference'!$B$37:$J$50,,MATCH('Unit Summary - Rent Roll'!$N129,'Data - Reference'!$B$37:$J$37,0)),-1),1),"NA"))</f>
        <v>NA</v>
      </c>
      <c r="P129" s="239" t="s">
        <v>85</v>
      </c>
      <c r="Q129" s="239" t="s">
        <v>85</v>
      </c>
      <c r="R129" s="188">
        <v>0</v>
      </c>
      <c r="S129" s="364">
        <f t="shared" si="23"/>
        <v>0</v>
      </c>
      <c r="T129" s="97">
        <f t="shared" si="24"/>
        <v>0</v>
      </c>
      <c r="U129" s="188">
        <v>0</v>
      </c>
      <c r="V129" s="364">
        <f t="shared" si="25"/>
        <v>0</v>
      </c>
      <c r="W129" s="97">
        <f t="shared" si="26"/>
        <v>0</v>
      </c>
      <c r="X129" s="71">
        <f>IFERROR(IF(INDEX(AC$14:AC$18,MATCH($E129,$AB$14:$AB$18,0))&lt;&gt;0,INDEX(AC$14:AC$18,MATCH($E129,$AB$14:$AB$18,0)),
IF($M129="Market",0,IF($L129="HUD FMR",INDEX('Data - Reference'!$B$31:$G$31,MATCH($E129,'Data - Reference'!$B$9:$G$9,0)),INDEX('Data - Reference'!$B$9:$G$31,MATCH($K129,'Data - Reference'!$B$9:$B$31,0),MATCH($E129,'Data - Reference'!$B$9:$G$9,0))))),0)</f>
        <v>0</v>
      </c>
      <c r="Y129" s="71">
        <f>IFERROR(IF(INDEX(AD$14:AD$18,MATCH($E129,$AB$14:$AB$18,0))&lt;&gt;0,INDEX(AD$14:AD$18,MATCH($E129,$AB$14:$AB$18,0)),
IF($K129="None - Market",0,-INDEX('Data - Reference'!$B$32:$G$32,MATCH($E129,'Data - Reference'!$B$9:$G$9,0)))),0)</f>
        <v>0</v>
      </c>
      <c r="Z129" s="74">
        <f t="shared" si="20"/>
        <v>0</v>
      </c>
      <c r="AA129" s="67">
        <f t="shared" si="27"/>
        <v>0</v>
      </c>
      <c r="AB129" s="97">
        <f t="shared" si="28"/>
        <v>0</v>
      </c>
      <c r="AC129" s="82">
        <f t="shared" si="34"/>
        <v>0</v>
      </c>
      <c r="AD129" s="83">
        <f t="shared" si="29"/>
        <v>0</v>
      </c>
      <c r="AE129" s="97">
        <f t="shared" si="30"/>
        <v>0</v>
      </c>
      <c r="AF129" s="415" t="str">
        <f t="shared" si="21"/>
        <v>NA</v>
      </c>
      <c r="AG129" s="420" t="str">
        <f t="shared" si="31"/>
        <v>NA</v>
      </c>
      <c r="AH129" s="420" t="str">
        <f t="shared" si="32"/>
        <v>NA</v>
      </c>
      <c r="AI129" s="417" t="str">
        <f t="shared" si="4"/>
        <v>NA</v>
      </c>
      <c r="AJ129" s="417" t="str">
        <f t="shared" si="33"/>
        <v>NA</v>
      </c>
      <c r="AK129" s="524" t="str">
        <f>IFERROR(INDEX('Legacy Resident Reference'!R:R,MATCH('Unit Summary - Rent Roll'!AJ129,'Legacy Resident Reference'!P:P,0)),"NA")</f>
        <v>NA</v>
      </c>
    </row>
    <row r="130" spans="2:37" ht="13.8" hidden="1" outlineLevel="1" x14ac:dyDescent="0.3">
      <c r="B130" s="236">
        <v>104</v>
      </c>
      <c r="C130" s="580" t="s">
        <v>143</v>
      </c>
      <c r="D130" s="581"/>
      <c r="E130" s="186" t="s">
        <v>139</v>
      </c>
      <c r="F130" s="187">
        <v>0</v>
      </c>
      <c r="G130" s="239" t="s">
        <v>85</v>
      </c>
      <c r="H130" s="243">
        <v>0</v>
      </c>
      <c r="I130" s="374">
        <f t="shared" ref="I130:I193" si="35">F130*H130</f>
        <v>0</v>
      </c>
      <c r="J130" s="250" t="s">
        <v>139</v>
      </c>
      <c r="K130" s="508" t="s">
        <v>139</v>
      </c>
      <c r="L130" s="399" t="s">
        <v>139</v>
      </c>
      <c r="M130" s="403">
        <v>0</v>
      </c>
      <c r="N130" s="282" t="s">
        <v>139</v>
      </c>
      <c r="O130" s="302" t="str">
        <f>IF(OR(M130=0,N130="NA"),"NA",IFERROR(INDEX('Data - Reference'!$B$37:$B$50,MATCH('Unit Summary - Rent Roll'!$M130,INDEX('Data - Reference'!$B$37:$J$50,,MATCH('Unit Summary - Rent Roll'!$N130,'Data - Reference'!$B$37:$J$37,0)),-1),1),"NA"))</f>
        <v>NA</v>
      </c>
      <c r="P130" s="239" t="s">
        <v>85</v>
      </c>
      <c r="Q130" s="239" t="s">
        <v>85</v>
      </c>
      <c r="R130" s="188">
        <v>0</v>
      </c>
      <c r="S130" s="364">
        <f t="shared" ref="S130:S193" si="36">IFERROR(R130/$F130,0)</f>
        <v>0</v>
      </c>
      <c r="T130" s="97">
        <f t="shared" ref="T130:T193" si="37">IF(G130="Y",R130*$H130*12,0)</f>
        <v>0</v>
      </c>
      <c r="U130" s="188">
        <v>0</v>
      </c>
      <c r="V130" s="364">
        <f t="shared" ref="V130:V193" si="38">IFERROR(U130/$F130,0)</f>
        <v>0</v>
      </c>
      <c r="W130" s="97">
        <f t="shared" ref="W130:W193" si="39">U130*$H130*12</f>
        <v>0</v>
      </c>
      <c r="X130" s="71">
        <f>IFERROR(IF(INDEX(AC$14:AC$18,MATCH($E130,$AB$14:$AB$18,0))&lt;&gt;0,INDEX(AC$14:AC$18,MATCH($E130,$AB$14:$AB$18,0)),
IF($M130="Market",0,IF($L130="HUD FMR",INDEX('Data - Reference'!$B$31:$G$31,MATCH($E130,'Data - Reference'!$B$9:$G$9,0)),INDEX('Data - Reference'!$B$9:$G$31,MATCH($K130,'Data - Reference'!$B$9:$B$31,0),MATCH($E130,'Data - Reference'!$B$9:$G$9,0))))),0)</f>
        <v>0</v>
      </c>
      <c r="Y130" s="71">
        <f>IFERROR(IF(INDEX(AD$14:AD$18,MATCH($E130,$AB$14:$AB$18,0))&lt;&gt;0,INDEX(AD$14:AD$18,MATCH($E130,$AB$14:$AB$18,0)),
IF($K130="None - Market",0,-INDEX('Data - Reference'!$B$32:$G$32,MATCH($E130,'Data - Reference'!$B$9:$G$9,0)))),0)</f>
        <v>0</v>
      </c>
      <c r="Z130" s="74">
        <f t="shared" si="20"/>
        <v>0</v>
      </c>
      <c r="AA130" s="67">
        <f t="shared" ref="AA130:AA193" si="40">IFERROR(Z130/$F130,0)</f>
        <v>0</v>
      </c>
      <c r="AB130" s="97">
        <f t="shared" ref="AB130:AB193" si="41">Z130*$H130*12</f>
        <v>0</v>
      </c>
      <c r="AC130" s="82">
        <f t="shared" si="5"/>
        <v>0</v>
      </c>
      <c r="AD130" s="83">
        <f t="shared" ref="AD130:AD193" si="42">IFERROR(AC130/$F130,0)</f>
        <v>0</v>
      </c>
      <c r="AE130" s="97">
        <f t="shared" ref="AE130:AE193" si="43">AC130*$H130*12</f>
        <v>0</v>
      </c>
      <c r="AF130" s="415" t="str">
        <f t="shared" si="21"/>
        <v>NA</v>
      </c>
      <c r="AG130" s="420" t="str">
        <f t="shared" ref="AG130:AG193" si="44">IFERROR(IF(AND(OR(AJ130="1a",AJ130="2a"),OR(AH130="Y",AI130="Y")),"Y",
IF(AND(OR(AJ130="1b",AJ130="2b"),AF130="Y"),"Y",
IF(AJ130="4","Y",
IF(AJ130="NA","NA",
"N")))),"NA")</f>
        <v>NA</v>
      </c>
      <c r="AH130" s="420" t="str">
        <f t="shared" ref="AH130:AH193" si="45">IFERROR(IF(OR(G130="N",AE130=0),"NA",
IF(M130=0,"Input Current Household Income",
IF(G130="Y",IF(OR(J130="PBV - Income-Restricted",J130="PBRA - Income-Restricted",(U130-Y130)&lt;=M130/12*0.3),"Y","N"),"NA"))),"NA")</f>
        <v>NA</v>
      </c>
      <c r="AI130" s="417" t="str">
        <f t="shared" ref="AI130:AI227" si="46">IFERROR(IF(AE130=0,"NA",
IF(G130="Y",IF(AC130/R130-1&lt;=0.05,"Y","N"),"NA")),"NA")</f>
        <v>NA</v>
      </c>
      <c r="AJ130" s="417" t="str">
        <f t="shared" ref="AJ130:AJ193" si="47">IFERROR(IF(G130="N","NA",
(IF(AND(J130="Market",O130&gt;80%),"4",
IF(AND(O130&lt;=K130,O130&lt;=80%),"1a",
IF(AND(O130&lt;=K130,O130&gt;80%,O130&lt;=120%),"1b",
IF(AND(O130&gt;K130,O130&lt;=80%),"2a",
IF(AND(O130&gt;80%,O130&lt;=120%,O130-K130&lt;=20%),"2b",
IF(AND(O130&gt;80%,O130&lt;=120%,O130-K130&gt;20%),"3a",
IF(OR(M130=0,O130&gt;120%),"3b",
"Other"))))))))),"NA")</f>
        <v>NA</v>
      </c>
      <c r="AK130" s="524" t="str">
        <f>IFERROR(INDEX('Legacy Resident Reference'!R:R,MATCH('Unit Summary - Rent Roll'!AJ130,'Legacy Resident Reference'!P:P,0)),"NA")</f>
        <v>NA</v>
      </c>
    </row>
    <row r="131" spans="2:37" ht="13.8" hidden="1" outlineLevel="1" x14ac:dyDescent="0.3">
      <c r="B131" s="236">
        <v>105</v>
      </c>
      <c r="C131" s="580" t="s">
        <v>143</v>
      </c>
      <c r="D131" s="581"/>
      <c r="E131" s="186" t="s">
        <v>139</v>
      </c>
      <c r="F131" s="187">
        <v>0</v>
      </c>
      <c r="G131" s="239" t="s">
        <v>85</v>
      </c>
      <c r="H131" s="243">
        <v>0</v>
      </c>
      <c r="I131" s="373">
        <f t="shared" si="35"/>
        <v>0</v>
      </c>
      <c r="J131" s="250" t="s">
        <v>139</v>
      </c>
      <c r="K131" s="508" t="s">
        <v>139</v>
      </c>
      <c r="L131" s="399" t="s">
        <v>139</v>
      </c>
      <c r="M131" s="403">
        <v>0</v>
      </c>
      <c r="N131" s="282" t="s">
        <v>139</v>
      </c>
      <c r="O131" s="302" t="str">
        <f>IF(OR(M131=0,N131="NA"),"NA",IFERROR(INDEX('Data - Reference'!$B$37:$B$50,MATCH('Unit Summary - Rent Roll'!$M131,INDEX('Data - Reference'!$B$37:$J$50,,MATCH('Unit Summary - Rent Roll'!$N131,'Data - Reference'!$B$37:$J$37,0)),-1),1),"NA"))</f>
        <v>NA</v>
      </c>
      <c r="P131" s="239" t="s">
        <v>85</v>
      </c>
      <c r="Q131" s="239" t="s">
        <v>85</v>
      </c>
      <c r="R131" s="188">
        <v>0</v>
      </c>
      <c r="S131" s="364">
        <f t="shared" si="36"/>
        <v>0</v>
      </c>
      <c r="T131" s="97">
        <f t="shared" si="37"/>
        <v>0</v>
      </c>
      <c r="U131" s="188">
        <v>0</v>
      </c>
      <c r="V131" s="364">
        <f t="shared" si="38"/>
        <v>0</v>
      </c>
      <c r="W131" s="97">
        <f t="shared" si="39"/>
        <v>0</v>
      </c>
      <c r="X131" s="71">
        <f>IFERROR(IF(INDEX(AC$14:AC$18,MATCH($E131,$AB$14:$AB$18,0))&lt;&gt;0,INDEX(AC$14:AC$18,MATCH($E131,$AB$14:$AB$18,0)),
IF($M131="Market",0,IF($L131="HUD FMR",INDEX('Data - Reference'!$B$31:$G$31,MATCH($E131,'Data - Reference'!$B$9:$G$9,0)),INDEX('Data - Reference'!$B$9:$G$31,MATCH($K131,'Data - Reference'!$B$9:$B$31,0),MATCH($E131,'Data - Reference'!$B$9:$G$9,0))))),0)</f>
        <v>0</v>
      </c>
      <c r="Y131" s="71">
        <f>IFERROR(IF(INDEX(AD$14:AD$18,MATCH($E131,$AB$14:$AB$18,0))&lt;&gt;0,INDEX(AD$14:AD$18,MATCH($E131,$AB$14:$AB$18,0)),
IF($K131="None - Market",0,-INDEX('Data - Reference'!$B$32:$G$32,MATCH($E131,'Data - Reference'!$B$9:$G$9,0)))),0)</f>
        <v>0</v>
      </c>
      <c r="Z131" s="74">
        <f t="shared" si="20"/>
        <v>0</v>
      </c>
      <c r="AA131" s="67">
        <f t="shared" si="40"/>
        <v>0</v>
      </c>
      <c r="AB131" s="97">
        <f t="shared" si="41"/>
        <v>0</v>
      </c>
      <c r="AC131" s="82">
        <f t="shared" si="5"/>
        <v>0</v>
      </c>
      <c r="AD131" s="83">
        <f t="shared" si="42"/>
        <v>0</v>
      </c>
      <c r="AE131" s="97">
        <f t="shared" si="43"/>
        <v>0</v>
      </c>
      <c r="AF131" s="415" t="str">
        <f t="shared" si="21"/>
        <v>NA</v>
      </c>
      <c r="AG131" s="420" t="str">
        <f t="shared" si="44"/>
        <v>NA</v>
      </c>
      <c r="AH131" s="420" t="str">
        <f t="shared" si="45"/>
        <v>NA</v>
      </c>
      <c r="AI131" s="417" t="str">
        <f t="shared" si="46"/>
        <v>NA</v>
      </c>
      <c r="AJ131" s="417" t="str">
        <f t="shared" si="47"/>
        <v>NA</v>
      </c>
      <c r="AK131" s="524" t="str">
        <f>IFERROR(INDEX('Legacy Resident Reference'!R:R,MATCH('Unit Summary - Rent Roll'!AJ131,'Legacy Resident Reference'!P:P,0)),"NA")</f>
        <v>NA</v>
      </c>
    </row>
    <row r="132" spans="2:37" ht="13.8" hidden="1" outlineLevel="1" x14ac:dyDescent="0.3">
      <c r="B132" s="236">
        <v>106</v>
      </c>
      <c r="C132" s="580" t="s">
        <v>143</v>
      </c>
      <c r="D132" s="581"/>
      <c r="E132" s="186" t="s">
        <v>139</v>
      </c>
      <c r="F132" s="187">
        <v>0</v>
      </c>
      <c r="G132" s="239" t="s">
        <v>85</v>
      </c>
      <c r="H132" s="243">
        <v>0</v>
      </c>
      <c r="I132" s="373">
        <f t="shared" si="35"/>
        <v>0</v>
      </c>
      <c r="J132" s="250" t="s">
        <v>139</v>
      </c>
      <c r="K132" s="508" t="s">
        <v>139</v>
      </c>
      <c r="L132" s="399" t="s">
        <v>139</v>
      </c>
      <c r="M132" s="403">
        <v>0</v>
      </c>
      <c r="N132" s="282" t="s">
        <v>139</v>
      </c>
      <c r="O132" s="302" t="str">
        <f>IF(OR(M132=0,N132="NA"),"NA",IFERROR(INDEX('Data - Reference'!$B$37:$B$50,MATCH('Unit Summary - Rent Roll'!$M132,INDEX('Data - Reference'!$B$37:$J$50,,MATCH('Unit Summary - Rent Roll'!$N132,'Data - Reference'!$B$37:$J$37,0)),-1),1),"NA"))</f>
        <v>NA</v>
      </c>
      <c r="P132" s="239" t="s">
        <v>85</v>
      </c>
      <c r="Q132" s="239" t="s">
        <v>85</v>
      </c>
      <c r="R132" s="188">
        <v>0</v>
      </c>
      <c r="S132" s="364">
        <f t="shared" si="36"/>
        <v>0</v>
      </c>
      <c r="T132" s="97">
        <f t="shared" si="37"/>
        <v>0</v>
      </c>
      <c r="U132" s="188">
        <v>0</v>
      </c>
      <c r="V132" s="364">
        <f t="shared" si="38"/>
        <v>0</v>
      </c>
      <c r="W132" s="97">
        <f t="shared" si="39"/>
        <v>0</v>
      </c>
      <c r="X132" s="71">
        <f>IFERROR(IF(INDEX(AC$14:AC$18,MATCH($E132,$AB$14:$AB$18,0))&lt;&gt;0,INDEX(AC$14:AC$18,MATCH($E132,$AB$14:$AB$18,0)),
IF($M132="Market",0,IF($L132="HUD FMR",INDEX('Data - Reference'!$B$31:$G$31,MATCH($E132,'Data - Reference'!$B$9:$G$9,0)),INDEX('Data - Reference'!$B$9:$G$31,MATCH($K132,'Data - Reference'!$B$9:$B$31,0),MATCH($E132,'Data - Reference'!$B$9:$G$9,0))))),0)</f>
        <v>0</v>
      </c>
      <c r="Y132" s="71">
        <f>IFERROR(IF(INDEX(AD$14:AD$18,MATCH($E132,$AB$14:$AB$18,0))&lt;&gt;0,INDEX(AD$14:AD$18,MATCH($E132,$AB$14:$AB$18,0)),
IF($K132="None - Market",0,-INDEX('Data - Reference'!$B$32:$G$32,MATCH($E132,'Data - Reference'!$B$9:$G$9,0)))),0)</f>
        <v>0</v>
      </c>
      <c r="Z132" s="74">
        <f t="shared" si="20"/>
        <v>0</v>
      </c>
      <c r="AA132" s="67">
        <f t="shared" si="40"/>
        <v>0</v>
      </c>
      <c r="AB132" s="97">
        <f t="shared" si="41"/>
        <v>0</v>
      </c>
      <c r="AC132" s="82">
        <f t="shared" si="5"/>
        <v>0</v>
      </c>
      <c r="AD132" s="83">
        <f t="shared" si="42"/>
        <v>0</v>
      </c>
      <c r="AE132" s="97">
        <f t="shared" si="43"/>
        <v>0</v>
      </c>
      <c r="AF132" s="415" t="str">
        <f t="shared" si="21"/>
        <v>NA</v>
      </c>
      <c r="AG132" s="420" t="str">
        <f t="shared" si="44"/>
        <v>NA</v>
      </c>
      <c r="AH132" s="420" t="str">
        <f t="shared" si="45"/>
        <v>NA</v>
      </c>
      <c r="AI132" s="417" t="str">
        <f t="shared" si="46"/>
        <v>NA</v>
      </c>
      <c r="AJ132" s="417" t="str">
        <f t="shared" si="47"/>
        <v>NA</v>
      </c>
      <c r="AK132" s="524" t="str">
        <f>IFERROR(INDEX('Legacy Resident Reference'!R:R,MATCH('Unit Summary - Rent Roll'!AJ132,'Legacy Resident Reference'!P:P,0)),"NA")</f>
        <v>NA</v>
      </c>
    </row>
    <row r="133" spans="2:37" ht="13.8" hidden="1" outlineLevel="1" x14ac:dyDescent="0.3">
      <c r="B133" s="236">
        <v>107</v>
      </c>
      <c r="C133" s="580" t="s">
        <v>143</v>
      </c>
      <c r="D133" s="581"/>
      <c r="E133" s="186" t="s">
        <v>139</v>
      </c>
      <c r="F133" s="187">
        <v>0</v>
      </c>
      <c r="G133" s="239" t="s">
        <v>85</v>
      </c>
      <c r="H133" s="243">
        <v>0</v>
      </c>
      <c r="I133" s="373">
        <f t="shared" si="35"/>
        <v>0</v>
      </c>
      <c r="J133" s="250" t="s">
        <v>139</v>
      </c>
      <c r="K133" s="508" t="s">
        <v>139</v>
      </c>
      <c r="L133" s="399" t="s">
        <v>139</v>
      </c>
      <c r="M133" s="403">
        <v>0</v>
      </c>
      <c r="N133" s="282" t="s">
        <v>139</v>
      </c>
      <c r="O133" s="302" t="str">
        <f>IF(OR(M133=0,N133="NA"),"NA",IFERROR(INDEX('Data - Reference'!$B$37:$B$50,MATCH('Unit Summary - Rent Roll'!$M133,INDEX('Data - Reference'!$B$37:$J$50,,MATCH('Unit Summary - Rent Roll'!$N133,'Data - Reference'!$B$37:$J$37,0)),-1),1),"NA"))</f>
        <v>NA</v>
      </c>
      <c r="P133" s="239" t="s">
        <v>85</v>
      </c>
      <c r="Q133" s="239" t="s">
        <v>85</v>
      </c>
      <c r="R133" s="188">
        <v>0</v>
      </c>
      <c r="S133" s="364">
        <f t="shared" si="36"/>
        <v>0</v>
      </c>
      <c r="T133" s="97">
        <f t="shared" si="37"/>
        <v>0</v>
      </c>
      <c r="U133" s="188">
        <v>0</v>
      </c>
      <c r="V133" s="364">
        <f t="shared" si="38"/>
        <v>0</v>
      </c>
      <c r="W133" s="97">
        <f t="shared" si="39"/>
        <v>0</v>
      </c>
      <c r="X133" s="71">
        <f>IFERROR(IF(INDEX(AC$14:AC$18,MATCH($E133,$AB$14:$AB$18,0))&lt;&gt;0,INDEX(AC$14:AC$18,MATCH($E133,$AB$14:$AB$18,0)),
IF($M133="Market",0,IF($L133="HUD FMR",INDEX('Data - Reference'!$B$31:$G$31,MATCH($E133,'Data - Reference'!$B$9:$G$9,0)),INDEX('Data - Reference'!$B$9:$G$31,MATCH($K133,'Data - Reference'!$B$9:$B$31,0),MATCH($E133,'Data - Reference'!$B$9:$G$9,0))))),0)</f>
        <v>0</v>
      </c>
      <c r="Y133" s="71">
        <f>IFERROR(IF(INDEX(AD$14:AD$18,MATCH($E133,$AB$14:$AB$18,0))&lt;&gt;0,INDEX(AD$14:AD$18,MATCH($E133,$AB$14:$AB$18,0)),
IF($K133="None - Market",0,-INDEX('Data - Reference'!$B$32:$G$32,MATCH($E133,'Data - Reference'!$B$9:$G$9,0)))),0)</f>
        <v>0</v>
      </c>
      <c r="Z133" s="74">
        <f t="shared" si="20"/>
        <v>0</v>
      </c>
      <c r="AA133" s="67">
        <f t="shared" si="40"/>
        <v>0</v>
      </c>
      <c r="AB133" s="97">
        <f t="shared" si="41"/>
        <v>0</v>
      </c>
      <c r="AC133" s="82">
        <f t="shared" si="5"/>
        <v>0</v>
      </c>
      <c r="AD133" s="83">
        <f t="shared" si="42"/>
        <v>0</v>
      </c>
      <c r="AE133" s="97">
        <f t="shared" si="43"/>
        <v>0</v>
      </c>
      <c r="AF133" s="415" t="str">
        <f t="shared" si="21"/>
        <v>NA</v>
      </c>
      <c r="AG133" s="420" t="str">
        <f t="shared" si="44"/>
        <v>NA</v>
      </c>
      <c r="AH133" s="420" t="str">
        <f t="shared" si="45"/>
        <v>NA</v>
      </c>
      <c r="AI133" s="417" t="str">
        <f t="shared" si="46"/>
        <v>NA</v>
      </c>
      <c r="AJ133" s="417" t="str">
        <f t="shared" si="47"/>
        <v>NA</v>
      </c>
      <c r="AK133" s="524" t="str">
        <f>IFERROR(INDEX('Legacy Resident Reference'!R:R,MATCH('Unit Summary - Rent Roll'!AJ133,'Legacy Resident Reference'!P:P,0)),"NA")</f>
        <v>NA</v>
      </c>
    </row>
    <row r="134" spans="2:37" ht="13.8" hidden="1" outlineLevel="1" x14ac:dyDescent="0.3">
      <c r="B134" s="236">
        <v>108</v>
      </c>
      <c r="C134" s="580" t="s">
        <v>143</v>
      </c>
      <c r="D134" s="581"/>
      <c r="E134" s="186" t="s">
        <v>139</v>
      </c>
      <c r="F134" s="187">
        <v>0</v>
      </c>
      <c r="G134" s="239" t="s">
        <v>85</v>
      </c>
      <c r="H134" s="243">
        <v>0</v>
      </c>
      <c r="I134" s="373">
        <f t="shared" si="35"/>
        <v>0</v>
      </c>
      <c r="J134" s="250" t="s">
        <v>139</v>
      </c>
      <c r="K134" s="508" t="s">
        <v>139</v>
      </c>
      <c r="L134" s="399" t="s">
        <v>139</v>
      </c>
      <c r="M134" s="403">
        <v>0</v>
      </c>
      <c r="N134" s="282" t="s">
        <v>139</v>
      </c>
      <c r="O134" s="302" t="str">
        <f>IF(OR(M134=0,N134="NA"),"NA",IFERROR(INDEX('Data - Reference'!$B$37:$B$50,MATCH('Unit Summary - Rent Roll'!$M134,INDEX('Data - Reference'!$B$37:$J$50,,MATCH('Unit Summary - Rent Roll'!$N134,'Data - Reference'!$B$37:$J$37,0)),-1),1),"NA"))</f>
        <v>NA</v>
      </c>
      <c r="P134" s="239" t="s">
        <v>85</v>
      </c>
      <c r="Q134" s="239" t="s">
        <v>85</v>
      </c>
      <c r="R134" s="188">
        <v>0</v>
      </c>
      <c r="S134" s="364">
        <f t="shared" si="36"/>
        <v>0</v>
      </c>
      <c r="T134" s="97">
        <f t="shared" si="37"/>
        <v>0</v>
      </c>
      <c r="U134" s="188">
        <v>0</v>
      </c>
      <c r="V134" s="364">
        <f t="shared" si="38"/>
        <v>0</v>
      </c>
      <c r="W134" s="97">
        <f t="shared" si="39"/>
        <v>0</v>
      </c>
      <c r="X134" s="71">
        <f>IFERROR(IF(INDEX(AC$14:AC$18,MATCH($E134,$AB$14:$AB$18,0))&lt;&gt;0,INDEX(AC$14:AC$18,MATCH($E134,$AB$14:$AB$18,0)),
IF($M134="Market",0,IF($L134="HUD FMR",INDEX('Data - Reference'!$B$31:$G$31,MATCH($E134,'Data - Reference'!$B$9:$G$9,0)),INDEX('Data - Reference'!$B$9:$G$31,MATCH($K134,'Data - Reference'!$B$9:$B$31,0),MATCH($E134,'Data - Reference'!$B$9:$G$9,0))))),0)</f>
        <v>0</v>
      </c>
      <c r="Y134" s="71">
        <f>IFERROR(IF(INDEX(AD$14:AD$18,MATCH($E134,$AB$14:$AB$18,0))&lt;&gt;0,INDEX(AD$14:AD$18,MATCH($E134,$AB$14:$AB$18,0)),
IF($K134="None - Market",0,-INDEX('Data - Reference'!$B$32:$G$32,MATCH($E134,'Data - Reference'!$B$9:$G$9,0)))),0)</f>
        <v>0</v>
      </c>
      <c r="Z134" s="74">
        <f t="shared" si="20"/>
        <v>0</v>
      </c>
      <c r="AA134" s="67">
        <f t="shared" si="40"/>
        <v>0</v>
      </c>
      <c r="AB134" s="97">
        <f t="shared" si="41"/>
        <v>0</v>
      </c>
      <c r="AC134" s="82">
        <f t="shared" si="5"/>
        <v>0</v>
      </c>
      <c r="AD134" s="83">
        <f t="shared" si="42"/>
        <v>0</v>
      </c>
      <c r="AE134" s="97">
        <f t="shared" si="43"/>
        <v>0</v>
      </c>
      <c r="AF134" s="415" t="str">
        <f t="shared" si="21"/>
        <v>NA</v>
      </c>
      <c r="AG134" s="420" t="str">
        <f t="shared" si="44"/>
        <v>NA</v>
      </c>
      <c r="AH134" s="420" t="str">
        <f t="shared" si="45"/>
        <v>NA</v>
      </c>
      <c r="AI134" s="417" t="str">
        <f t="shared" si="46"/>
        <v>NA</v>
      </c>
      <c r="AJ134" s="417" t="str">
        <f t="shared" si="47"/>
        <v>NA</v>
      </c>
      <c r="AK134" s="524" t="str">
        <f>IFERROR(INDEX('Legacy Resident Reference'!R:R,MATCH('Unit Summary - Rent Roll'!AJ134,'Legacy Resident Reference'!P:P,0)),"NA")</f>
        <v>NA</v>
      </c>
    </row>
    <row r="135" spans="2:37" ht="13.8" hidden="1" outlineLevel="1" x14ac:dyDescent="0.3">
      <c r="B135" s="236">
        <v>109</v>
      </c>
      <c r="C135" s="580" t="s">
        <v>143</v>
      </c>
      <c r="D135" s="581"/>
      <c r="E135" s="186" t="s">
        <v>139</v>
      </c>
      <c r="F135" s="187">
        <v>0</v>
      </c>
      <c r="G135" s="239" t="s">
        <v>85</v>
      </c>
      <c r="H135" s="243">
        <v>0</v>
      </c>
      <c r="I135" s="373">
        <f t="shared" si="35"/>
        <v>0</v>
      </c>
      <c r="J135" s="250" t="s">
        <v>139</v>
      </c>
      <c r="K135" s="508" t="s">
        <v>139</v>
      </c>
      <c r="L135" s="399" t="s">
        <v>139</v>
      </c>
      <c r="M135" s="403">
        <v>0</v>
      </c>
      <c r="N135" s="282" t="s">
        <v>139</v>
      </c>
      <c r="O135" s="302" t="str">
        <f>IF(OR(M135=0,N135="NA"),"NA",IFERROR(INDEX('Data - Reference'!$B$37:$B$50,MATCH('Unit Summary - Rent Roll'!$M135,INDEX('Data - Reference'!$B$37:$J$50,,MATCH('Unit Summary - Rent Roll'!$N135,'Data - Reference'!$B$37:$J$37,0)),-1),1),"NA"))</f>
        <v>NA</v>
      </c>
      <c r="P135" s="239" t="s">
        <v>85</v>
      </c>
      <c r="Q135" s="239" t="s">
        <v>85</v>
      </c>
      <c r="R135" s="188">
        <v>0</v>
      </c>
      <c r="S135" s="364">
        <f t="shared" si="36"/>
        <v>0</v>
      </c>
      <c r="T135" s="97">
        <f t="shared" si="37"/>
        <v>0</v>
      </c>
      <c r="U135" s="188">
        <v>0</v>
      </c>
      <c r="V135" s="364">
        <f t="shared" si="38"/>
        <v>0</v>
      </c>
      <c r="W135" s="97">
        <f t="shared" si="39"/>
        <v>0</v>
      </c>
      <c r="X135" s="71">
        <f>IFERROR(IF(INDEX(AC$14:AC$18,MATCH($E135,$AB$14:$AB$18,0))&lt;&gt;0,INDEX(AC$14:AC$18,MATCH($E135,$AB$14:$AB$18,0)),
IF($M135="Market",0,IF($L135="HUD FMR",INDEX('Data - Reference'!$B$31:$G$31,MATCH($E135,'Data - Reference'!$B$9:$G$9,0)),INDEX('Data - Reference'!$B$9:$G$31,MATCH($K135,'Data - Reference'!$B$9:$B$31,0),MATCH($E135,'Data - Reference'!$B$9:$G$9,0))))),0)</f>
        <v>0</v>
      </c>
      <c r="Y135" s="71">
        <f>IFERROR(IF(INDEX(AD$14:AD$18,MATCH($E135,$AB$14:$AB$18,0))&lt;&gt;0,INDEX(AD$14:AD$18,MATCH($E135,$AB$14:$AB$18,0)),
IF($K135="None - Market",0,-INDEX('Data - Reference'!$B$32:$G$32,MATCH($E135,'Data - Reference'!$B$9:$G$9,0)))),0)</f>
        <v>0</v>
      </c>
      <c r="Z135" s="74">
        <f t="shared" si="20"/>
        <v>0</v>
      </c>
      <c r="AA135" s="67">
        <f t="shared" si="40"/>
        <v>0</v>
      </c>
      <c r="AB135" s="97">
        <f t="shared" si="41"/>
        <v>0</v>
      </c>
      <c r="AC135" s="82">
        <f t="shared" si="5"/>
        <v>0</v>
      </c>
      <c r="AD135" s="83">
        <f t="shared" si="42"/>
        <v>0</v>
      </c>
      <c r="AE135" s="97">
        <f t="shared" si="43"/>
        <v>0</v>
      </c>
      <c r="AF135" s="415" t="str">
        <f t="shared" si="21"/>
        <v>NA</v>
      </c>
      <c r="AG135" s="420" t="str">
        <f t="shared" si="44"/>
        <v>NA</v>
      </c>
      <c r="AH135" s="420" t="str">
        <f t="shared" si="45"/>
        <v>NA</v>
      </c>
      <c r="AI135" s="417" t="str">
        <f t="shared" si="46"/>
        <v>NA</v>
      </c>
      <c r="AJ135" s="417" t="str">
        <f t="shared" si="47"/>
        <v>NA</v>
      </c>
      <c r="AK135" s="524" t="str">
        <f>IFERROR(INDEX('Legacy Resident Reference'!R:R,MATCH('Unit Summary - Rent Roll'!AJ135,'Legacy Resident Reference'!P:P,0)),"NA")</f>
        <v>NA</v>
      </c>
    </row>
    <row r="136" spans="2:37" ht="13.8" hidden="1" outlineLevel="1" x14ac:dyDescent="0.3">
      <c r="B136" s="236">
        <v>110</v>
      </c>
      <c r="C136" s="580" t="s">
        <v>143</v>
      </c>
      <c r="D136" s="581"/>
      <c r="E136" s="186" t="s">
        <v>139</v>
      </c>
      <c r="F136" s="187">
        <v>0</v>
      </c>
      <c r="G136" s="239" t="s">
        <v>85</v>
      </c>
      <c r="H136" s="243">
        <v>0</v>
      </c>
      <c r="I136" s="373">
        <f t="shared" si="35"/>
        <v>0</v>
      </c>
      <c r="J136" s="250" t="s">
        <v>139</v>
      </c>
      <c r="K136" s="508" t="s">
        <v>139</v>
      </c>
      <c r="L136" s="399" t="s">
        <v>139</v>
      </c>
      <c r="M136" s="403">
        <v>0</v>
      </c>
      <c r="N136" s="282" t="s">
        <v>139</v>
      </c>
      <c r="O136" s="302" t="str">
        <f>IF(OR(M136=0,N136="NA"),"NA",IFERROR(INDEX('Data - Reference'!$B$37:$B$50,MATCH('Unit Summary - Rent Roll'!$M136,INDEX('Data - Reference'!$B$37:$J$50,,MATCH('Unit Summary - Rent Roll'!$N136,'Data - Reference'!$B$37:$J$37,0)),-1),1),"NA"))</f>
        <v>NA</v>
      </c>
      <c r="P136" s="239" t="s">
        <v>85</v>
      </c>
      <c r="Q136" s="239" t="s">
        <v>85</v>
      </c>
      <c r="R136" s="188">
        <v>0</v>
      </c>
      <c r="S136" s="364">
        <f t="shared" si="36"/>
        <v>0</v>
      </c>
      <c r="T136" s="97">
        <f t="shared" si="37"/>
        <v>0</v>
      </c>
      <c r="U136" s="188">
        <v>0</v>
      </c>
      <c r="V136" s="364">
        <f t="shared" si="38"/>
        <v>0</v>
      </c>
      <c r="W136" s="97">
        <f t="shared" si="39"/>
        <v>0</v>
      </c>
      <c r="X136" s="71">
        <f>IFERROR(IF(INDEX(AC$14:AC$18,MATCH($E136,$AB$14:$AB$18,0))&lt;&gt;0,INDEX(AC$14:AC$18,MATCH($E136,$AB$14:$AB$18,0)),
IF($M136="Market",0,IF($L136="HUD FMR",INDEX('Data - Reference'!$B$31:$G$31,MATCH($E136,'Data - Reference'!$B$9:$G$9,0)),INDEX('Data - Reference'!$B$9:$G$31,MATCH($K136,'Data - Reference'!$B$9:$B$31,0),MATCH($E136,'Data - Reference'!$B$9:$G$9,0))))),0)</f>
        <v>0</v>
      </c>
      <c r="Y136" s="71">
        <f>IFERROR(IF(INDEX(AD$14:AD$18,MATCH($E136,$AB$14:$AB$18,0))&lt;&gt;0,INDEX(AD$14:AD$18,MATCH($E136,$AB$14:$AB$18,0)),
IF($K136="None - Market",0,-INDEX('Data - Reference'!$B$32:$G$32,MATCH($E136,'Data - Reference'!$B$9:$G$9,0)))),0)</f>
        <v>0</v>
      </c>
      <c r="Z136" s="74">
        <f t="shared" si="20"/>
        <v>0</v>
      </c>
      <c r="AA136" s="67">
        <f t="shared" si="40"/>
        <v>0</v>
      </c>
      <c r="AB136" s="97">
        <f t="shared" si="41"/>
        <v>0</v>
      </c>
      <c r="AC136" s="82">
        <f t="shared" si="5"/>
        <v>0</v>
      </c>
      <c r="AD136" s="83">
        <f t="shared" si="42"/>
        <v>0</v>
      </c>
      <c r="AE136" s="97">
        <f t="shared" si="43"/>
        <v>0</v>
      </c>
      <c r="AF136" s="415" t="str">
        <f t="shared" si="21"/>
        <v>NA</v>
      </c>
      <c r="AG136" s="420" t="str">
        <f t="shared" si="44"/>
        <v>NA</v>
      </c>
      <c r="AH136" s="420" t="str">
        <f t="shared" si="45"/>
        <v>NA</v>
      </c>
      <c r="AI136" s="417" t="str">
        <f t="shared" si="46"/>
        <v>NA</v>
      </c>
      <c r="AJ136" s="417" t="str">
        <f t="shared" si="47"/>
        <v>NA</v>
      </c>
      <c r="AK136" s="524" t="str">
        <f>IFERROR(INDEX('Legacy Resident Reference'!R:R,MATCH('Unit Summary - Rent Roll'!AJ136,'Legacy Resident Reference'!P:P,0)),"NA")</f>
        <v>NA</v>
      </c>
    </row>
    <row r="137" spans="2:37" ht="13.8" hidden="1" outlineLevel="1" x14ac:dyDescent="0.3">
      <c r="B137" s="236">
        <v>111</v>
      </c>
      <c r="C137" s="580" t="s">
        <v>143</v>
      </c>
      <c r="D137" s="581"/>
      <c r="E137" s="186" t="s">
        <v>139</v>
      </c>
      <c r="F137" s="187">
        <v>0</v>
      </c>
      <c r="G137" s="239" t="s">
        <v>85</v>
      </c>
      <c r="H137" s="243">
        <v>0</v>
      </c>
      <c r="I137" s="373">
        <f t="shared" si="35"/>
        <v>0</v>
      </c>
      <c r="J137" s="250" t="s">
        <v>139</v>
      </c>
      <c r="K137" s="508" t="s">
        <v>139</v>
      </c>
      <c r="L137" s="399" t="s">
        <v>139</v>
      </c>
      <c r="M137" s="403">
        <v>0</v>
      </c>
      <c r="N137" s="282" t="s">
        <v>139</v>
      </c>
      <c r="O137" s="302" t="str">
        <f>IF(OR(M137=0,N137="NA"),"NA",IFERROR(INDEX('Data - Reference'!$B$37:$B$50,MATCH('Unit Summary - Rent Roll'!$M137,INDEX('Data - Reference'!$B$37:$J$50,,MATCH('Unit Summary - Rent Roll'!$N137,'Data - Reference'!$B$37:$J$37,0)),-1),1),"NA"))</f>
        <v>NA</v>
      </c>
      <c r="P137" s="239" t="s">
        <v>85</v>
      </c>
      <c r="Q137" s="239" t="s">
        <v>85</v>
      </c>
      <c r="R137" s="188">
        <v>0</v>
      </c>
      <c r="S137" s="364">
        <f t="shared" si="36"/>
        <v>0</v>
      </c>
      <c r="T137" s="97">
        <f t="shared" si="37"/>
        <v>0</v>
      </c>
      <c r="U137" s="188">
        <v>0</v>
      </c>
      <c r="V137" s="364">
        <f t="shared" si="38"/>
        <v>0</v>
      </c>
      <c r="W137" s="97">
        <f t="shared" si="39"/>
        <v>0</v>
      </c>
      <c r="X137" s="71">
        <f>IFERROR(IF(INDEX(AC$14:AC$18,MATCH($E137,$AB$14:$AB$18,0))&lt;&gt;0,INDEX(AC$14:AC$18,MATCH($E137,$AB$14:$AB$18,0)),
IF($M137="Market",0,IF($L137="HUD FMR",INDEX('Data - Reference'!$B$31:$G$31,MATCH($E137,'Data - Reference'!$B$9:$G$9,0)),INDEX('Data - Reference'!$B$9:$G$31,MATCH($K137,'Data - Reference'!$B$9:$B$31,0),MATCH($E137,'Data - Reference'!$B$9:$G$9,0))))),0)</f>
        <v>0</v>
      </c>
      <c r="Y137" s="71">
        <f>IFERROR(IF(INDEX(AD$14:AD$18,MATCH($E137,$AB$14:$AB$18,0))&lt;&gt;0,INDEX(AD$14:AD$18,MATCH($E137,$AB$14:$AB$18,0)),
IF($K137="None - Market",0,-INDEX('Data - Reference'!$B$32:$G$32,MATCH($E137,'Data - Reference'!$B$9:$G$9,0)))),0)</f>
        <v>0</v>
      </c>
      <c r="Z137" s="74">
        <f t="shared" si="20"/>
        <v>0</v>
      </c>
      <c r="AA137" s="67">
        <f t="shared" si="40"/>
        <v>0</v>
      </c>
      <c r="AB137" s="97">
        <f t="shared" si="41"/>
        <v>0</v>
      </c>
      <c r="AC137" s="82">
        <f t="shared" si="5"/>
        <v>0</v>
      </c>
      <c r="AD137" s="83">
        <f t="shared" si="42"/>
        <v>0</v>
      </c>
      <c r="AE137" s="97">
        <f t="shared" si="43"/>
        <v>0</v>
      </c>
      <c r="AF137" s="415" t="str">
        <f t="shared" si="21"/>
        <v>NA</v>
      </c>
      <c r="AG137" s="420" t="str">
        <f t="shared" si="44"/>
        <v>NA</v>
      </c>
      <c r="AH137" s="420" t="str">
        <f t="shared" si="45"/>
        <v>NA</v>
      </c>
      <c r="AI137" s="417" t="str">
        <f t="shared" si="46"/>
        <v>NA</v>
      </c>
      <c r="AJ137" s="417" t="str">
        <f t="shared" si="47"/>
        <v>NA</v>
      </c>
      <c r="AK137" s="524" t="str">
        <f>IFERROR(INDEX('Legacy Resident Reference'!R:R,MATCH('Unit Summary - Rent Roll'!AJ137,'Legacy Resident Reference'!P:P,0)),"NA")</f>
        <v>NA</v>
      </c>
    </row>
    <row r="138" spans="2:37" ht="13.8" hidden="1" outlineLevel="1" x14ac:dyDescent="0.3">
      <c r="B138" s="236">
        <v>112</v>
      </c>
      <c r="C138" s="580" t="s">
        <v>143</v>
      </c>
      <c r="D138" s="581"/>
      <c r="E138" s="186" t="s">
        <v>139</v>
      </c>
      <c r="F138" s="187">
        <v>0</v>
      </c>
      <c r="G138" s="239" t="s">
        <v>85</v>
      </c>
      <c r="H138" s="243">
        <v>0</v>
      </c>
      <c r="I138" s="373">
        <f t="shared" si="35"/>
        <v>0</v>
      </c>
      <c r="J138" s="250" t="s">
        <v>139</v>
      </c>
      <c r="K138" s="508" t="s">
        <v>139</v>
      </c>
      <c r="L138" s="399" t="s">
        <v>139</v>
      </c>
      <c r="M138" s="403">
        <v>0</v>
      </c>
      <c r="N138" s="282" t="s">
        <v>139</v>
      </c>
      <c r="O138" s="302" t="str">
        <f>IF(OR(M138=0,N138="NA"),"NA",IFERROR(INDEX('Data - Reference'!$B$37:$B$50,MATCH('Unit Summary - Rent Roll'!$M138,INDEX('Data - Reference'!$B$37:$J$50,,MATCH('Unit Summary - Rent Roll'!$N138,'Data - Reference'!$B$37:$J$37,0)),-1),1),"NA"))</f>
        <v>NA</v>
      </c>
      <c r="P138" s="239" t="s">
        <v>85</v>
      </c>
      <c r="Q138" s="239" t="s">
        <v>85</v>
      </c>
      <c r="R138" s="188">
        <v>0</v>
      </c>
      <c r="S138" s="364">
        <f t="shared" si="36"/>
        <v>0</v>
      </c>
      <c r="T138" s="97">
        <f t="shared" si="37"/>
        <v>0</v>
      </c>
      <c r="U138" s="188">
        <v>0</v>
      </c>
      <c r="V138" s="364">
        <f t="shared" si="38"/>
        <v>0</v>
      </c>
      <c r="W138" s="97">
        <f t="shared" si="39"/>
        <v>0</v>
      </c>
      <c r="X138" s="71">
        <f>IFERROR(IF(INDEX(AC$14:AC$18,MATCH($E138,$AB$14:$AB$18,0))&lt;&gt;0,INDEX(AC$14:AC$18,MATCH($E138,$AB$14:$AB$18,0)),
IF($M138="Market",0,IF($L138="HUD FMR",INDEX('Data - Reference'!$B$31:$G$31,MATCH($E138,'Data - Reference'!$B$9:$G$9,0)),INDEX('Data - Reference'!$B$9:$G$31,MATCH($K138,'Data - Reference'!$B$9:$B$31,0),MATCH($E138,'Data - Reference'!$B$9:$G$9,0))))),0)</f>
        <v>0</v>
      </c>
      <c r="Y138" s="71">
        <f>IFERROR(IF(INDEX(AD$14:AD$18,MATCH($E138,$AB$14:$AB$18,0))&lt;&gt;0,INDEX(AD$14:AD$18,MATCH($E138,$AB$14:$AB$18,0)),
IF($K138="None - Market",0,-INDEX('Data - Reference'!$B$32:$G$32,MATCH($E138,'Data - Reference'!$B$9:$G$9,0)))),0)</f>
        <v>0</v>
      </c>
      <c r="Z138" s="74">
        <f t="shared" si="20"/>
        <v>0</v>
      </c>
      <c r="AA138" s="67">
        <f t="shared" si="40"/>
        <v>0</v>
      </c>
      <c r="AB138" s="97">
        <f t="shared" si="41"/>
        <v>0</v>
      </c>
      <c r="AC138" s="82">
        <f t="shared" si="5"/>
        <v>0</v>
      </c>
      <c r="AD138" s="83">
        <f t="shared" si="42"/>
        <v>0</v>
      </c>
      <c r="AE138" s="97">
        <f t="shared" si="43"/>
        <v>0</v>
      </c>
      <c r="AF138" s="415" t="str">
        <f t="shared" si="21"/>
        <v>NA</v>
      </c>
      <c r="AG138" s="420" t="str">
        <f t="shared" si="44"/>
        <v>NA</v>
      </c>
      <c r="AH138" s="420" t="str">
        <f t="shared" si="45"/>
        <v>NA</v>
      </c>
      <c r="AI138" s="417" t="str">
        <f t="shared" si="46"/>
        <v>NA</v>
      </c>
      <c r="AJ138" s="417" t="str">
        <f t="shared" si="47"/>
        <v>NA</v>
      </c>
      <c r="AK138" s="524" t="str">
        <f>IFERROR(INDEX('Legacy Resident Reference'!R:R,MATCH('Unit Summary - Rent Roll'!AJ138,'Legacy Resident Reference'!P:P,0)),"NA")</f>
        <v>NA</v>
      </c>
    </row>
    <row r="139" spans="2:37" ht="13.8" hidden="1" outlineLevel="1" x14ac:dyDescent="0.3">
      <c r="B139" s="236">
        <v>113</v>
      </c>
      <c r="C139" s="580" t="s">
        <v>143</v>
      </c>
      <c r="D139" s="581"/>
      <c r="E139" s="186" t="s">
        <v>139</v>
      </c>
      <c r="F139" s="187">
        <v>0</v>
      </c>
      <c r="G139" s="239" t="s">
        <v>85</v>
      </c>
      <c r="H139" s="243">
        <v>0</v>
      </c>
      <c r="I139" s="373">
        <f t="shared" si="35"/>
        <v>0</v>
      </c>
      <c r="J139" s="250" t="s">
        <v>139</v>
      </c>
      <c r="K139" s="508" t="s">
        <v>139</v>
      </c>
      <c r="L139" s="399" t="s">
        <v>139</v>
      </c>
      <c r="M139" s="403">
        <v>0</v>
      </c>
      <c r="N139" s="282" t="s">
        <v>139</v>
      </c>
      <c r="O139" s="302" t="str">
        <f>IF(OR(M139=0,N139="NA"),"NA",IFERROR(INDEX('Data - Reference'!$B$37:$B$50,MATCH('Unit Summary - Rent Roll'!$M139,INDEX('Data - Reference'!$B$37:$J$50,,MATCH('Unit Summary - Rent Roll'!$N139,'Data - Reference'!$B$37:$J$37,0)),-1),1),"NA"))</f>
        <v>NA</v>
      </c>
      <c r="P139" s="239" t="s">
        <v>85</v>
      </c>
      <c r="Q139" s="239" t="s">
        <v>85</v>
      </c>
      <c r="R139" s="188">
        <v>0</v>
      </c>
      <c r="S139" s="364">
        <f t="shared" si="36"/>
        <v>0</v>
      </c>
      <c r="T139" s="97">
        <f t="shared" si="37"/>
        <v>0</v>
      </c>
      <c r="U139" s="188">
        <v>0</v>
      </c>
      <c r="V139" s="364">
        <f t="shared" si="38"/>
        <v>0</v>
      </c>
      <c r="W139" s="97">
        <f t="shared" si="39"/>
        <v>0</v>
      </c>
      <c r="X139" s="71">
        <f>IFERROR(IF(INDEX(AC$14:AC$18,MATCH($E139,$AB$14:$AB$18,0))&lt;&gt;0,INDEX(AC$14:AC$18,MATCH($E139,$AB$14:$AB$18,0)),
IF($M139="Market",0,IF($L139="HUD FMR",INDEX('Data - Reference'!$B$31:$G$31,MATCH($E139,'Data - Reference'!$B$9:$G$9,0)),INDEX('Data - Reference'!$B$9:$G$31,MATCH($K139,'Data - Reference'!$B$9:$B$31,0),MATCH($E139,'Data - Reference'!$B$9:$G$9,0))))),0)</f>
        <v>0</v>
      </c>
      <c r="Y139" s="71">
        <f>IFERROR(IF(INDEX(AD$14:AD$18,MATCH($E139,$AB$14:$AB$18,0))&lt;&gt;0,INDEX(AD$14:AD$18,MATCH($E139,$AB$14:$AB$18,0)),
IF($K139="None - Market",0,-INDEX('Data - Reference'!$B$32:$G$32,MATCH($E139,'Data - Reference'!$B$9:$G$9,0)))),0)</f>
        <v>0</v>
      </c>
      <c r="Z139" s="74">
        <f t="shared" si="20"/>
        <v>0</v>
      </c>
      <c r="AA139" s="67">
        <f t="shared" si="40"/>
        <v>0</v>
      </c>
      <c r="AB139" s="97">
        <f t="shared" si="41"/>
        <v>0</v>
      </c>
      <c r="AC139" s="82">
        <f t="shared" si="5"/>
        <v>0</v>
      </c>
      <c r="AD139" s="83">
        <f t="shared" si="42"/>
        <v>0</v>
      </c>
      <c r="AE139" s="97">
        <f t="shared" si="43"/>
        <v>0</v>
      </c>
      <c r="AF139" s="415" t="str">
        <f t="shared" si="21"/>
        <v>NA</v>
      </c>
      <c r="AG139" s="420" t="str">
        <f t="shared" si="44"/>
        <v>NA</v>
      </c>
      <c r="AH139" s="420" t="str">
        <f t="shared" si="45"/>
        <v>NA</v>
      </c>
      <c r="AI139" s="417" t="str">
        <f t="shared" si="46"/>
        <v>NA</v>
      </c>
      <c r="AJ139" s="417" t="str">
        <f t="shared" si="47"/>
        <v>NA</v>
      </c>
      <c r="AK139" s="524" t="str">
        <f>IFERROR(INDEX('Legacy Resident Reference'!R:R,MATCH('Unit Summary - Rent Roll'!AJ139,'Legacy Resident Reference'!P:P,0)),"NA")</f>
        <v>NA</v>
      </c>
    </row>
    <row r="140" spans="2:37" ht="13.8" hidden="1" outlineLevel="1" x14ac:dyDescent="0.3">
      <c r="B140" s="236">
        <v>114</v>
      </c>
      <c r="C140" s="580" t="s">
        <v>143</v>
      </c>
      <c r="D140" s="581"/>
      <c r="E140" s="186" t="s">
        <v>139</v>
      </c>
      <c r="F140" s="187">
        <v>0</v>
      </c>
      <c r="G140" s="239" t="s">
        <v>85</v>
      </c>
      <c r="H140" s="243">
        <v>0</v>
      </c>
      <c r="I140" s="373">
        <f t="shared" si="35"/>
        <v>0</v>
      </c>
      <c r="J140" s="250" t="s">
        <v>139</v>
      </c>
      <c r="K140" s="508" t="s">
        <v>139</v>
      </c>
      <c r="L140" s="399" t="s">
        <v>139</v>
      </c>
      <c r="M140" s="403">
        <v>0</v>
      </c>
      <c r="N140" s="282" t="s">
        <v>139</v>
      </c>
      <c r="O140" s="302" t="str">
        <f>IF(OR(M140=0,N140="NA"),"NA",IFERROR(INDEX('Data - Reference'!$B$37:$B$50,MATCH('Unit Summary - Rent Roll'!$M140,INDEX('Data - Reference'!$B$37:$J$50,,MATCH('Unit Summary - Rent Roll'!$N140,'Data - Reference'!$B$37:$J$37,0)),-1),1),"NA"))</f>
        <v>NA</v>
      </c>
      <c r="P140" s="239" t="s">
        <v>85</v>
      </c>
      <c r="Q140" s="239" t="s">
        <v>85</v>
      </c>
      <c r="R140" s="188">
        <v>0</v>
      </c>
      <c r="S140" s="364">
        <f t="shared" si="36"/>
        <v>0</v>
      </c>
      <c r="T140" s="97">
        <f t="shared" si="37"/>
        <v>0</v>
      </c>
      <c r="U140" s="188">
        <v>0</v>
      </c>
      <c r="V140" s="364">
        <f t="shared" si="38"/>
        <v>0</v>
      </c>
      <c r="W140" s="97">
        <f t="shared" si="39"/>
        <v>0</v>
      </c>
      <c r="X140" s="71">
        <f>IFERROR(IF(INDEX(AC$14:AC$18,MATCH($E140,$AB$14:$AB$18,0))&lt;&gt;0,INDEX(AC$14:AC$18,MATCH($E140,$AB$14:$AB$18,0)),
IF($M140="Market",0,IF($L140="HUD FMR",INDEX('Data - Reference'!$B$31:$G$31,MATCH($E140,'Data - Reference'!$B$9:$G$9,0)),INDEX('Data - Reference'!$B$9:$G$31,MATCH($K140,'Data - Reference'!$B$9:$B$31,0),MATCH($E140,'Data - Reference'!$B$9:$G$9,0))))),0)</f>
        <v>0</v>
      </c>
      <c r="Y140" s="71">
        <f>IFERROR(IF(INDEX(AD$14:AD$18,MATCH($E140,$AB$14:$AB$18,0))&lt;&gt;0,INDEX(AD$14:AD$18,MATCH($E140,$AB$14:$AB$18,0)),
IF($K140="None - Market",0,-INDEX('Data - Reference'!$B$32:$G$32,MATCH($E140,'Data - Reference'!$B$9:$G$9,0)))),0)</f>
        <v>0</v>
      </c>
      <c r="Z140" s="74">
        <f t="shared" si="20"/>
        <v>0</v>
      </c>
      <c r="AA140" s="67">
        <f t="shared" si="40"/>
        <v>0</v>
      </c>
      <c r="AB140" s="97">
        <f t="shared" si="41"/>
        <v>0</v>
      </c>
      <c r="AC140" s="82">
        <f t="shared" si="5"/>
        <v>0</v>
      </c>
      <c r="AD140" s="83">
        <f t="shared" si="42"/>
        <v>0</v>
      </c>
      <c r="AE140" s="97">
        <f t="shared" si="43"/>
        <v>0</v>
      </c>
      <c r="AF140" s="415" t="str">
        <f t="shared" si="21"/>
        <v>NA</v>
      </c>
      <c r="AG140" s="420" t="str">
        <f t="shared" si="44"/>
        <v>NA</v>
      </c>
      <c r="AH140" s="420" t="str">
        <f t="shared" si="45"/>
        <v>NA</v>
      </c>
      <c r="AI140" s="417" t="str">
        <f t="shared" si="46"/>
        <v>NA</v>
      </c>
      <c r="AJ140" s="417" t="str">
        <f t="shared" si="47"/>
        <v>NA</v>
      </c>
      <c r="AK140" s="524" t="str">
        <f>IFERROR(INDEX('Legacy Resident Reference'!R:R,MATCH('Unit Summary - Rent Roll'!AJ140,'Legacy Resident Reference'!P:P,0)),"NA")</f>
        <v>NA</v>
      </c>
    </row>
    <row r="141" spans="2:37" ht="13.8" hidden="1" outlineLevel="1" x14ac:dyDescent="0.3">
      <c r="B141" s="236">
        <v>115</v>
      </c>
      <c r="C141" s="580" t="s">
        <v>143</v>
      </c>
      <c r="D141" s="581"/>
      <c r="E141" s="186" t="s">
        <v>139</v>
      </c>
      <c r="F141" s="187">
        <v>0</v>
      </c>
      <c r="G141" s="239" t="s">
        <v>85</v>
      </c>
      <c r="H141" s="243">
        <v>0</v>
      </c>
      <c r="I141" s="373">
        <f t="shared" si="35"/>
        <v>0</v>
      </c>
      <c r="J141" s="250" t="s">
        <v>139</v>
      </c>
      <c r="K141" s="508" t="s">
        <v>139</v>
      </c>
      <c r="L141" s="399" t="s">
        <v>139</v>
      </c>
      <c r="M141" s="403">
        <v>0</v>
      </c>
      <c r="N141" s="282" t="s">
        <v>139</v>
      </c>
      <c r="O141" s="302" t="str">
        <f>IF(OR(M141=0,N141="NA"),"NA",IFERROR(INDEX('Data - Reference'!$B$37:$B$50,MATCH('Unit Summary - Rent Roll'!$M141,INDEX('Data - Reference'!$B$37:$J$50,,MATCH('Unit Summary - Rent Roll'!$N141,'Data - Reference'!$B$37:$J$37,0)),-1),1),"NA"))</f>
        <v>NA</v>
      </c>
      <c r="P141" s="239" t="s">
        <v>85</v>
      </c>
      <c r="Q141" s="239" t="s">
        <v>85</v>
      </c>
      <c r="R141" s="188">
        <v>0</v>
      </c>
      <c r="S141" s="364">
        <f t="shared" si="36"/>
        <v>0</v>
      </c>
      <c r="T141" s="97">
        <f t="shared" si="37"/>
        <v>0</v>
      </c>
      <c r="U141" s="188">
        <v>0</v>
      </c>
      <c r="V141" s="364">
        <f t="shared" si="38"/>
        <v>0</v>
      </c>
      <c r="W141" s="97">
        <f t="shared" si="39"/>
        <v>0</v>
      </c>
      <c r="X141" s="71">
        <f>IFERROR(IF(INDEX(AC$14:AC$18,MATCH($E141,$AB$14:$AB$18,0))&lt;&gt;0,INDEX(AC$14:AC$18,MATCH($E141,$AB$14:$AB$18,0)),
IF($M141="Market",0,IF($L141="HUD FMR",INDEX('Data - Reference'!$B$31:$G$31,MATCH($E141,'Data - Reference'!$B$9:$G$9,0)),INDEX('Data - Reference'!$B$9:$G$31,MATCH($K141,'Data - Reference'!$B$9:$B$31,0),MATCH($E141,'Data - Reference'!$B$9:$G$9,0))))),0)</f>
        <v>0</v>
      </c>
      <c r="Y141" s="71">
        <f>IFERROR(IF(INDEX(AD$14:AD$18,MATCH($E141,$AB$14:$AB$18,0))&lt;&gt;0,INDEX(AD$14:AD$18,MATCH($E141,$AB$14:$AB$18,0)),
IF($K141="None - Market",0,-INDEX('Data - Reference'!$B$32:$G$32,MATCH($E141,'Data - Reference'!$B$9:$G$9,0)))),0)</f>
        <v>0</v>
      </c>
      <c r="Z141" s="74">
        <f t="shared" si="20"/>
        <v>0</v>
      </c>
      <c r="AA141" s="67">
        <f t="shared" si="40"/>
        <v>0</v>
      </c>
      <c r="AB141" s="97">
        <f t="shared" si="41"/>
        <v>0</v>
      </c>
      <c r="AC141" s="82">
        <f t="shared" si="5"/>
        <v>0</v>
      </c>
      <c r="AD141" s="83">
        <f t="shared" si="42"/>
        <v>0</v>
      </c>
      <c r="AE141" s="97">
        <f t="shared" si="43"/>
        <v>0</v>
      </c>
      <c r="AF141" s="415" t="str">
        <f t="shared" si="21"/>
        <v>NA</v>
      </c>
      <c r="AG141" s="420" t="str">
        <f t="shared" si="44"/>
        <v>NA</v>
      </c>
      <c r="AH141" s="420" t="str">
        <f t="shared" si="45"/>
        <v>NA</v>
      </c>
      <c r="AI141" s="417" t="str">
        <f t="shared" si="46"/>
        <v>NA</v>
      </c>
      <c r="AJ141" s="417" t="str">
        <f t="shared" si="47"/>
        <v>NA</v>
      </c>
      <c r="AK141" s="524" t="str">
        <f>IFERROR(INDEX('Legacy Resident Reference'!R:R,MATCH('Unit Summary - Rent Roll'!AJ141,'Legacy Resident Reference'!P:P,0)),"NA")</f>
        <v>NA</v>
      </c>
    </row>
    <row r="142" spans="2:37" ht="13.8" hidden="1" outlineLevel="1" x14ac:dyDescent="0.3">
      <c r="B142" s="236">
        <v>116</v>
      </c>
      <c r="C142" s="580" t="s">
        <v>143</v>
      </c>
      <c r="D142" s="581"/>
      <c r="E142" s="186" t="s">
        <v>139</v>
      </c>
      <c r="F142" s="187">
        <v>0</v>
      </c>
      <c r="G142" s="239" t="s">
        <v>85</v>
      </c>
      <c r="H142" s="243">
        <v>0</v>
      </c>
      <c r="I142" s="373">
        <f t="shared" si="35"/>
        <v>0</v>
      </c>
      <c r="J142" s="250" t="s">
        <v>139</v>
      </c>
      <c r="K142" s="508" t="s">
        <v>139</v>
      </c>
      <c r="L142" s="399" t="s">
        <v>139</v>
      </c>
      <c r="M142" s="403">
        <v>0</v>
      </c>
      <c r="N142" s="282" t="s">
        <v>139</v>
      </c>
      <c r="O142" s="302" t="str">
        <f>IF(OR(M142=0,N142="NA"),"NA",IFERROR(INDEX('Data - Reference'!$B$37:$B$50,MATCH('Unit Summary - Rent Roll'!$M142,INDEX('Data - Reference'!$B$37:$J$50,,MATCH('Unit Summary - Rent Roll'!$N142,'Data - Reference'!$B$37:$J$37,0)),-1),1),"NA"))</f>
        <v>NA</v>
      </c>
      <c r="P142" s="239" t="s">
        <v>85</v>
      </c>
      <c r="Q142" s="239" t="s">
        <v>85</v>
      </c>
      <c r="R142" s="188">
        <v>0</v>
      </c>
      <c r="S142" s="364">
        <f t="shared" si="36"/>
        <v>0</v>
      </c>
      <c r="T142" s="97">
        <f t="shared" si="37"/>
        <v>0</v>
      </c>
      <c r="U142" s="188">
        <v>0</v>
      </c>
      <c r="V142" s="364">
        <f t="shared" si="38"/>
        <v>0</v>
      </c>
      <c r="W142" s="97">
        <f t="shared" si="39"/>
        <v>0</v>
      </c>
      <c r="X142" s="71">
        <f>IFERROR(IF(INDEX(AC$14:AC$18,MATCH($E142,$AB$14:$AB$18,0))&lt;&gt;0,INDEX(AC$14:AC$18,MATCH($E142,$AB$14:$AB$18,0)),
IF($M142="Market",0,IF($L142="HUD FMR",INDEX('Data - Reference'!$B$31:$G$31,MATCH($E142,'Data - Reference'!$B$9:$G$9,0)),INDEX('Data - Reference'!$B$9:$G$31,MATCH($K142,'Data - Reference'!$B$9:$B$31,0),MATCH($E142,'Data - Reference'!$B$9:$G$9,0))))),0)</f>
        <v>0</v>
      </c>
      <c r="Y142" s="71">
        <f>IFERROR(IF(INDEX(AD$14:AD$18,MATCH($E142,$AB$14:$AB$18,0))&lt;&gt;0,INDEX(AD$14:AD$18,MATCH($E142,$AB$14:$AB$18,0)),
IF($K142="None - Market",0,-INDEX('Data - Reference'!$B$32:$G$32,MATCH($E142,'Data - Reference'!$B$9:$G$9,0)))),0)</f>
        <v>0</v>
      </c>
      <c r="Z142" s="74">
        <f t="shared" si="20"/>
        <v>0</v>
      </c>
      <c r="AA142" s="67">
        <f t="shared" si="40"/>
        <v>0</v>
      </c>
      <c r="AB142" s="97">
        <f t="shared" si="41"/>
        <v>0</v>
      </c>
      <c r="AC142" s="82">
        <f t="shared" si="5"/>
        <v>0</v>
      </c>
      <c r="AD142" s="83">
        <f t="shared" si="42"/>
        <v>0</v>
      </c>
      <c r="AE142" s="97">
        <f t="shared" si="43"/>
        <v>0</v>
      </c>
      <c r="AF142" s="415" t="str">
        <f t="shared" si="21"/>
        <v>NA</v>
      </c>
      <c r="AG142" s="420" t="str">
        <f t="shared" si="44"/>
        <v>NA</v>
      </c>
      <c r="AH142" s="420" t="str">
        <f t="shared" si="45"/>
        <v>NA</v>
      </c>
      <c r="AI142" s="417" t="str">
        <f t="shared" si="46"/>
        <v>NA</v>
      </c>
      <c r="AJ142" s="417" t="str">
        <f t="shared" si="47"/>
        <v>NA</v>
      </c>
      <c r="AK142" s="524" t="str">
        <f>IFERROR(INDEX('Legacy Resident Reference'!R:R,MATCH('Unit Summary - Rent Roll'!AJ142,'Legacy Resident Reference'!P:P,0)),"NA")</f>
        <v>NA</v>
      </c>
    </row>
    <row r="143" spans="2:37" ht="13.8" hidden="1" outlineLevel="1" x14ac:dyDescent="0.3">
      <c r="B143" s="236">
        <v>117</v>
      </c>
      <c r="C143" s="580" t="s">
        <v>143</v>
      </c>
      <c r="D143" s="581"/>
      <c r="E143" s="186" t="s">
        <v>139</v>
      </c>
      <c r="F143" s="187">
        <v>0</v>
      </c>
      <c r="G143" s="239" t="s">
        <v>85</v>
      </c>
      <c r="H143" s="243">
        <v>0</v>
      </c>
      <c r="I143" s="373">
        <f t="shared" si="35"/>
        <v>0</v>
      </c>
      <c r="J143" s="250" t="s">
        <v>139</v>
      </c>
      <c r="K143" s="508" t="s">
        <v>139</v>
      </c>
      <c r="L143" s="399" t="s">
        <v>139</v>
      </c>
      <c r="M143" s="403">
        <v>0</v>
      </c>
      <c r="N143" s="282" t="s">
        <v>139</v>
      </c>
      <c r="O143" s="302" t="str">
        <f>IF(OR(M143=0,N143="NA"),"NA",IFERROR(INDEX('Data - Reference'!$B$37:$B$50,MATCH('Unit Summary - Rent Roll'!$M143,INDEX('Data - Reference'!$B$37:$J$50,,MATCH('Unit Summary - Rent Roll'!$N143,'Data - Reference'!$B$37:$J$37,0)),-1),1),"NA"))</f>
        <v>NA</v>
      </c>
      <c r="P143" s="239" t="s">
        <v>85</v>
      </c>
      <c r="Q143" s="239" t="s">
        <v>85</v>
      </c>
      <c r="R143" s="188">
        <v>0</v>
      </c>
      <c r="S143" s="364">
        <f t="shared" si="36"/>
        <v>0</v>
      </c>
      <c r="T143" s="97">
        <f t="shared" si="37"/>
        <v>0</v>
      </c>
      <c r="U143" s="188">
        <v>0</v>
      </c>
      <c r="V143" s="364">
        <f t="shared" si="38"/>
        <v>0</v>
      </c>
      <c r="W143" s="97">
        <f t="shared" si="39"/>
        <v>0</v>
      </c>
      <c r="X143" s="71">
        <f>IFERROR(IF(INDEX(AC$14:AC$18,MATCH($E143,$AB$14:$AB$18,0))&lt;&gt;0,INDEX(AC$14:AC$18,MATCH($E143,$AB$14:$AB$18,0)),
IF($M143="Market",0,IF($L143="HUD FMR",INDEX('Data - Reference'!$B$31:$G$31,MATCH($E143,'Data - Reference'!$B$9:$G$9,0)),INDEX('Data - Reference'!$B$9:$G$31,MATCH($K143,'Data - Reference'!$B$9:$B$31,0),MATCH($E143,'Data - Reference'!$B$9:$G$9,0))))),0)</f>
        <v>0</v>
      </c>
      <c r="Y143" s="71">
        <f>IFERROR(IF(INDEX(AD$14:AD$18,MATCH($E143,$AB$14:$AB$18,0))&lt;&gt;0,INDEX(AD$14:AD$18,MATCH($E143,$AB$14:$AB$18,0)),
IF($K143="None - Market",0,-INDEX('Data - Reference'!$B$32:$G$32,MATCH($E143,'Data - Reference'!$B$9:$G$9,0)))),0)</f>
        <v>0</v>
      </c>
      <c r="Z143" s="74">
        <f t="shared" si="20"/>
        <v>0</v>
      </c>
      <c r="AA143" s="67">
        <f t="shared" si="40"/>
        <v>0</v>
      </c>
      <c r="AB143" s="97">
        <f t="shared" si="41"/>
        <v>0</v>
      </c>
      <c r="AC143" s="82">
        <f t="shared" si="5"/>
        <v>0</v>
      </c>
      <c r="AD143" s="83">
        <f t="shared" si="42"/>
        <v>0</v>
      </c>
      <c r="AE143" s="97">
        <f t="shared" si="43"/>
        <v>0</v>
      </c>
      <c r="AF143" s="415" t="str">
        <f t="shared" si="21"/>
        <v>NA</v>
      </c>
      <c r="AG143" s="420" t="str">
        <f t="shared" si="44"/>
        <v>NA</v>
      </c>
      <c r="AH143" s="420" t="str">
        <f t="shared" si="45"/>
        <v>NA</v>
      </c>
      <c r="AI143" s="417" t="str">
        <f t="shared" si="46"/>
        <v>NA</v>
      </c>
      <c r="AJ143" s="417" t="str">
        <f t="shared" si="47"/>
        <v>NA</v>
      </c>
      <c r="AK143" s="524" t="str">
        <f>IFERROR(INDEX('Legacy Resident Reference'!R:R,MATCH('Unit Summary - Rent Roll'!AJ143,'Legacy Resident Reference'!P:P,0)),"NA")</f>
        <v>NA</v>
      </c>
    </row>
    <row r="144" spans="2:37" ht="13.8" hidden="1" outlineLevel="1" x14ac:dyDescent="0.3">
      <c r="B144" s="236">
        <v>118</v>
      </c>
      <c r="C144" s="580" t="s">
        <v>143</v>
      </c>
      <c r="D144" s="581"/>
      <c r="E144" s="186" t="s">
        <v>139</v>
      </c>
      <c r="F144" s="187">
        <v>0</v>
      </c>
      <c r="G144" s="239" t="s">
        <v>85</v>
      </c>
      <c r="H144" s="243">
        <v>0</v>
      </c>
      <c r="I144" s="373">
        <f t="shared" si="35"/>
        <v>0</v>
      </c>
      <c r="J144" s="250" t="s">
        <v>139</v>
      </c>
      <c r="K144" s="508" t="s">
        <v>139</v>
      </c>
      <c r="L144" s="399" t="s">
        <v>139</v>
      </c>
      <c r="M144" s="403">
        <v>0</v>
      </c>
      <c r="N144" s="282" t="s">
        <v>139</v>
      </c>
      <c r="O144" s="302" t="str">
        <f>IF(OR(M144=0,N144="NA"),"NA",IFERROR(INDEX('Data - Reference'!$B$37:$B$50,MATCH('Unit Summary - Rent Roll'!$M144,INDEX('Data - Reference'!$B$37:$J$50,,MATCH('Unit Summary - Rent Roll'!$N144,'Data - Reference'!$B$37:$J$37,0)),-1),1),"NA"))</f>
        <v>NA</v>
      </c>
      <c r="P144" s="239" t="s">
        <v>85</v>
      </c>
      <c r="Q144" s="239" t="s">
        <v>85</v>
      </c>
      <c r="R144" s="188">
        <v>0</v>
      </c>
      <c r="S144" s="364">
        <f t="shared" si="36"/>
        <v>0</v>
      </c>
      <c r="T144" s="97">
        <f t="shared" si="37"/>
        <v>0</v>
      </c>
      <c r="U144" s="188">
        <v>0</v>
      </c>
      <c r="V144" s="364">
        <f t="shared" si="38"/>
        <v>0</v>
      </c>
      <c r="W144" s="97">
        <f t="shared" si="39"/>
        <v>0</v>
      </c>
      <c r="X144" s="71">
        <f>IFERROR(IF(INDEX(AC$14:AC$18,MATCH($E144,$AB$14:$AB$18,0))&lt;&gt;0,INDEX(AC$14:AC$18,MATCH($E144,$AB$14:$AB$18,0)),
IF($M144="Market",0,IF($L144="HUD FMR",INDEX('Data - Reference'!$B$31:$G$31,MATCH($E144,'Data - Reference'!$B$9:$G$9,0)),INDEX('Data - Reference'!$B$9:$G$31,MATCH($K144,'Data - Reference'!$B$9:$B$31,0),MATCH($E144,'Data - Reference'!$B$9:$G$9,0))))),0)</f>
        <v>0</v>
      </c>
      <c r="Y144" s="71">
        <f>IFERROR(IF(INDEX(AD$14:AD$18,MATCH($E144,$AB$14:$AB$18,0))&lt;&gt;0,INDEX(AD$14:AD$18,MATCH($E144,$AB$14:$AB$18,0)),
IF($K144="None - Market",0,-INDEX('Data - Reference'!$B$32:$G$32,MATCH($E144,'Data - Reference'!$B$9:$G$9,0)))),0)</f>
        <v>0</v>
      </c>
      <c r="Z144" s="74">
        <f t="shared" si="20"/>
        <v>0</v>
      </c>
      <c r="AA144" s="67">
        <f t="shared" si="40"/>
        <v>0</v>
      </c>
      <c r="AB144" s="97">
        <f t="shared" si="41"/>
        <v>0</v>
      </c>
      <c r="AC144" s="82">
        <f t="shared" si="5"/>
        <v>0</v>
      </c>
      <c r="AD144" s="83">
        <f t="shared" si="42"/>
        <v>0</v>
      </c>
      <c r="AE144" s="97">
        <f t="shared" si="43"/>
        <v>0</v>
      </c>
      <c r="AF144" s="415" t="str">
        <f t="shared" si="21"/>
        <v>NA</v>
      </c>
      <c r="AG144" s="420" t="str">
        <f t="shared" si="44"/>
        <v>NA</v>
      </c>
      <c r="AH144" s="420" t="str">
        <f t="shared" si="45"/>
        <v>NA</v>
      </c>
      <c r="AI144" s="417" t="str">
        <f t="shared" si="46"/>
        <v>NA</v>
      </c>
      <c r="AJ144" s="417" t="str">
        <f t="shared" si="47"/>
        <v>NA</v>
      </c>
      <c r="AK144" s="524" t="str">
        <f>IFERROR(INDEX('Legacy Resident Reference'!R:R,MATCH('Unit Summary - Rent Roll'!AJ144,'Legacy Resident Reference'!P:P,0)),"NA")</f>
        <v>NA</v>
      </c>
    </row>
    <row r="145" spans="2:37" ht="13.8" hidden="1" outlineLevel="1" x14ac:dyDescent="0.3">
      <c r="B145" s="236">
        <v>119</v>
      </c>
      <c r="C145" s="580" t="s">
        <v>143</v>
      </c>
      <c r="D145" s="581"/>
      <c r="E145" s="186" t="s">
        <v>139</v>
      </c>
      <c r="F145" s="187">
        <v>0</v>
      </c>
      <c r="G145" s="239" t="s">
        <v>85</v>
      </c>
      <c r="H145" s="243">
        <v>0</v>
      </c>
      <c r="I145" s="373">
        <f t="shared" si="35"/>
        <v>0</v>
      </c>
      <c r="J145" s="250" t="s">
        <v>139</v>
      </c>
      <c r="K145" s="508" t="s">
        <v>139</v>
      </c>
      <c r="L145" s="399" t="s">
        <v>139</v>
      </c>
      <c r="M145" s="403">
        <v>0</v>
      </c>
      <c r="N145" s="282" t="s">
        <v>139</v>
      </c>
      <c r="O145" s="302" t="str">
        <f>IF(OR(M145=0,N145="NA"),"NA",IFERROR(INDEX('Data - Reference'!$B$37:$B$50,MATCH('Unit Summary - Rent Roll'!$M145,INDEX('Data - Reference'!$B$37:$J$50,,MATCH('Unit Summary - Rent Roll'!$N145,'Data - Reference'!$B$37:$J$37,0)),-1),1),"NA"))</f>
        <v>NA</v>
      </c>
      <c r="P145" s="239" t="s">
        <v>85</v>
      </c>
      <c r="Q145" s="239" t="s">
        <v>85</v>
      </c>
      <c r="R145" s="188">
        <v>0</v>
      </c>
      <c r="S145" s="364">
        <f t="shared" si="36"/>
        <v>0</v>
      </c>
      <c r="T145" s="97">
        <f t="shared" si="37"/>
        <v>0</v>
      </c>
      <c r="U145" s="188">
        <v>0</v>
      </c>
      <c r="V145" s="364">
        <f t="shared" si="38"/>
        <v>0</v>
      </c>
      <c r="W145" s="97">
        <f t="shared" si="39"/>
        <v>0</v>
      </c>
      <c r="X145" s="71">
        <f>IFERROR(IF(INDEX(AC$14:AC$18,MATCH($E145,$AB$14:$AB$18,0))&lt;&gt;0,INDEX(AC$14:AC$18,MATCH($E145,$AB$14:$AB$18,0)),
IF($M145="Market",0,IF($L145="HUD FMR",INDEX('Data - Reference'!$B$31:$G$31,MATCH($E145,'Data - Reference'!$B$9:$G$9,0)),INDEX('Data - Reference'!$B$9:$G$31,MATCH($K145,'Data - Reference'!$B$9:$B$31,0),MATCH($E145,'Data - Reference'!$B$9:$G$9,0))))),0)</f>
        <v>0</v>
      </c>
      <c r="Y145" s="71">
        <f>IFERROR(IF(INDEX(AD$14:AD$18,MATCH($E145,$AB$14:$AB$18,0))&lt;&gt;0,INDEX(AD$14:AD$18,MATCH($E145,$AB$14:$AB$18,0)),
IF($K145="None - Market",0,-INDEX('Data - Reference'!$B$32:$G$32,MATCH($E145,'Data - Reference'!$B$9:$G$9,0)))),0)</f>
        <v>0</v>
      </c>
      <c r="Z145" s="74">
        <f t="shared" si="20"/>
        <v>0</v>
      </c>
      <c r="AA145" s="67">
        <f t="shared" si="40"/>
        <v>0</v>
      </c>
      <c r="AB145" s="97">
        <f t="shared" si="41"/>
        <v>0</v>
      </c>
      <c r="AC145" s="82">
        <f t="shared" si="5"/>
        <v>0</v>
      </c>
      <c r="AD145" s="83">
        <f t="shared" si="42"/>
        <v>0</v>
      </c>
      <c r="AE145" s="97">
        <f t="shared" si="43"/>
        <v>0</v>
      </c>
      <c r="AF145" s="415" t="str">
        <f t="shared" si="21"/>
        <v>NA</v>
      </c>
      <c r="AG145" s="420" t="str">
        <f t="shared" si="44"/>
        <v>NA</v>
      </c>
      <c r="AH145" s="420" t="str">
        <f t="shared" si="45"/>
        <v>NA</v>
      </c>
      <c r="AI145" s="417" t="str">
        <f t="shared" si="46"/>
        <v>NA</v>
      </c>
      <c r="AJ145" s="417" t="str">
        <f t="shared" si="47"/>
        <v>NA</v>
      </c>
      <c r="AK145" s="524" t="str">
        <f>IFERROR(INDEX('Legacy Resident Reference'!R:R,MATCH('Unit Summary - Rent Roll'!AJ145,'Legacy Resident Reference'!P:P,0)),"NA")</f>
        <v>NA</v>
      </c>
    </row>
    <row r="146" spans="2:37" ht="13.8" hidden="1" outlineLevel="1" x14ac:dyDescent="0.3">
      <c r="B146" s="236">
        <v>120</v>
      </c>
      <c r="C146" s="580" t="s">
        <v>143</v>
      </c>
      <c r="D146" s="581"/>
      <c r="E146" s="186" t="s">
        <v>139</v>
      </c>
      <c r="F146" s="187">
        <v>0</v>
      </c>
      <c r="G146" s="239" t="s">
        <v>85</v>
      </c>
      <c r="H146" s="243">
        <v>0</v>
      </c>
      <c r="I146" s="373">
        <f t="shared" si="35"/>
        <v>0</v>
      </c>
      <c r="J146" s="250" t="s">
        <v>139</v>
      </c>
      <c r="K146" s="508" t="s">
        <v>139</v>
      </c>
      <c r="L146" s="399" t="s">
        <v>139</v>
      </c>
      <c r="M146" s="403">
        <v>0</v>
      </c>
      <c r="N146" s="282" t="s">
        <v>139</v>
      </c>
      <c r="O146" s="302" t="str">
        <f>IF(OR(M146=0,N146="NA"),"NA",IFERROR(INDEX('Data - Reference'!$B$37:$B$50,MATCH('Unit Summary - Rent Roll'!$M146,INDEX('Data - Reference'!$B$37:$J$50,,MATCH('Unit Summary - Rent Roll'!$N146,'Data - Reference'!$B$37:$J$37,0)),-1),1),"NA"))</f>
        <v>NA</v>
      </c>
      <c r="P146" s="239" t="s">
        <v>85</v>
      </c>
      <c r="Q146" s="239" t="s">
        <v>85</v>
      </c>
      <c r="R146" s="188">
        <v>0</v>
      </c>
      <c r="S146" s="364">
        <f t="shared" si="36"/>
        <v>0</v>
      </c>
      <c r="T146" s="97">
        <f t="shared" si="37"/>
        <v>0</v>
      </c>
      <c r="U146" s="188">
        <v>0</v>
      </c>
      <c r="V146" s="364">
        <f t="shared" si="38"/>
        <v>0</v>
      </c>
      <c r="W146" s="97">
        <f t="shared" si="39"/>
        <v>0</v>
      </c>
      <c r="X146" s="71">
        <f>IFERROR(IF(INDEX(AC$14:AC$18,MATCH($E146,$AB$14:$AB$18,0))&lt;&gt;0,INDEX(AC$14:AC$18,MATCH($E146,$AB$14:$AB$18,0)),
IF($M146="Market",0,IF($L146="HUD FMR",INDEX('Data - Reference'!$B$31:$G$31,MATCH($E146,'Data - Reference'!$B$9:$G$9,0)),INDEX('Data - Reference'!$B$9:$G$31,MATCH($K146,'Data - Reference'!$B$9:$B$31,0),MATCH($E146,'Data - Reference'!$B$9:$G$9,0))))),0)</f>
        <v>0</v>
      </c>
      <c r="Y146" s="71">
        <f>IFERROR(IF(INDEX(AD$14:AD$18,MATCH($E146,$AB$14:$AB$18,0))&lt;&gt;0,INDEX(AD$14:AD$18,MATCH($E146,$AB$14:$AB$18,0)),
IF($K146="None - Market",0,-INDEX('Data - Reference'!$B$32:$G$32,MATCH($E146,'Data - Reference'!$B$9:$G$9,0)))),0)</f>
        <v>0</v>
      </c>
      <c r="Z146" s="74">
        <f t="shared" si="20"/>
        <v>0</v>
      </c>
      <c r="AA146" s="67">
        <f t="shared" si="40"/>
        <v>0</v>
      </c>
      <c r="AB146" s="97">
        <f t="shared" si="41"/>
        <v>0</v>
      </c>
      <c r="AC146" s="82">
        <f t="shared" si="5"/>
        <v>0</v>
      </c>
      <c r="AD146" s="83">
        <f t="shared" si="42"/>
        <v>0</v>
      </c>
      <c r="AE146" s="97">
        <f t="shared" si="43"/>
        <v>0</v>
      </c>
      <c r="AF146" s="415" t="str">
        <f t="shared" si="21"/>
        <v>NA</v>
      </c>
      <c r="AG146" s="420" t="str">
        <f t="shared" si="44"/>
        <v>NA</v>
      </c>
      <c r="AH146" s="420" t="str">
        <f t="shared" si="45"/>
        <v>NA</v>
      </c>
      <c r="AI146" s="417" t="str">
        <f t="shared" si="46"/>
        <v>NA</v>
      </c>
      <c r="AJ146" s="417" t="str">
        <f t="shared" si="47"/>
        <v>NA</v>
      </c>
      <c r="AK146" s="524" t="str">
        <f>IFERROR(INDEX('Legacy Resident Reference'!R:R,MATCH('Unit Summary - Rent Roll'!AJ146,'Legacy Resident Reference'!P:P,0)),"NA")</f>
        <v>NA</v>
      </c>
    </row>
    <row r="147" spans="2:37" ht="13.8" hidden="1" outlineLevel="1" x14ac:dyDescent="0.3">
      <c r="B147" s="236">
        <v>121</v>
      </c>
      <c r="C147" s="580" t="s">
        <v>143</v>
      </c>
      <c r="D147" s="581"/>
      <c r="E147" s="186" t="s">
        <v>139</v>
      </c>
      <c r="F147" s="187">
        <v>0</v>
      </c>
      <c r="G147" s="239" t="s">
        <v>85</v>
      </c>
      <c r="H147" s="243">
        <v>0</v>
      </c>
      <c r="I147" s="373">
        <f t="shared" si="35"/>
        <v>0</v>
      </c>
      <c r="J147" s="250" t="s">
        <v>139</v>
      </c>
      <c r="K147" s="508" t="s">
        <v>139</v>
      </c>
      <c r="L147" s="399" t="s">
        <v>139</v>
      </c>
      <c r="M147" s="403">
        <v>0</v>
      </c>
      <c r="N147" s="282" t="s">
        <v>139</v>
      </c>
      <c r="O147" s="302" t="str">
        <f>IF(OR(M147=0,N147="NA"),"NA",IFERROR(INDEX('Data - Reference'!$B$37:$B$50,MATCH('Unit Summary - Rent Roll'!$M147,INDEX('Data - Reference'!$B$37:$J$50,,MATCH('Unit Summary - Rent Roll'!$N147,'Data - Reference'!$B$37:$J$37,0)),-1),1),"NA"))</f>
        <v>NA</v>
      </c>
      <c r="P147" s="239" t="s">
        <v>85</v>
      </c>
      <c r="Q147" s="239" t="s">
        <v>85</v>
      </c>
      <c r="R147" s="188">
        <v>0</v>
      </c>
      <c r="S147" s="364">
        <f t="shared" si="36"/>
        <v>0</v>
      </c>
      <c r="T147" s="97">
        <f t="shared" si="37"/>
        <v>0</v>
      </c>
      <c r="U147" s="188">
        <v>0</v>
      </c>
      <c r="V147" s="364">
        <f t="shared" si="38"/>
        <v>0</v>
      </c>
      <c r="W147" s="97">
        <f t="shared" si="39"/>
        <v>0</v>
      </c>
      <c r="X147" s="71">
        <f>IFERROR(IF(INDEX(AC$14:AC$18,MATCH($E147,$AB$14:$AB$18,0))&lt;&gt;0,INDEX(AC$14:AC$18,MATCH($E147,$AB$14:$AB$18,0)),
IF($M147="Market",0,IF($L147="HUD FMR",INDEX('Data - Reference'!$B$31:$G$31,MATCH($E147,'Data - Reference'!$B$9:$G$9,0)),INDEX('Data - Reference'!$B$9:$G$31,MATCH($K147,'Data - Reference'!$B$9:$B$31,0),MATCH($E147,'Data - Reference'!$B$9:$G$9,0))))),0)</f>
        <v>0</v>
      </c>
      <c r="Y147" s="71">
        <f>IFERROR(IF(INDEX(AD$14:AD$18,MATCH($E147,$AB$14:$AB$18,0))&lt;&gt;0,INDEX(AD$14:AD$18,MATCH($E147,$AB$14:$AB$18,0)),
IF($K147="None - Market",0,-INDEX('Data - Reference'!$B$32:$G$32,MATCH($E147,'Data - Reference'!$B$9:$G$9,0)))),0)</f>
        <v>0</v>
      </c>
      <c r="Z147" s="74">
        <f t="shared" si="20"/>
        <v>0</v>
      </c>
      <c r="AA147" s="67">
        <f t="shared" si="40"/>
        <v>0</v>
      </c>
      <c r="AB147" s="97">
        <f t="shared" si="41"/>
        <v>0</v>
      </c>
      <c r="AC147" s="82">
        <f t="shared" si="5"/>
        <v>0</v>
      </c>
      <c r="AD147" s="83">
        <f t="shared" si="42"/>
        <v>0</v>
      </c>
      <c r="AE147" s="97">
        <f t="shared" si="43"/>
        <v>0</v>
      </c>
      <c r="AF147" s="415" t="str">
        <f t="shared" si="21"/>
        <v>NA</v>
      </c>
      <c r="AG147" s="420" t="str">
        <f t="shared" si="44"/>
        <v>NA</v>
      </c>
      <c r="AH147" s="420" t="str">
        <f t="shared" si="45"/>
        <v>NA</v>
      </c>
      <c r="AI147" s="417" t="str">
        <f t="shared" si="46"/>
        <v>NA</v>
      </c>
      <c r="AJ147" s="417" t="str">
        <f t="shared" si="47"/>
        <v>NA</v>
      </c>
      <c r="AK147" s="524" t="str">
        <f>IFERROR(INDEX('Legacy Resident Reference'!R:R,MATCH('Unit Summary - Rent Roll'!AJ147,'Legacy Resident Reference'!P:P,0)),"NA")</f>
        <v>NA</v>
      </c>
    </row>
    <row r="148" spans="2:37" ht="13.8" hidden="1" outlineLevel="1" x14ac:dyDescent="0.3">
      <c r="B148" s="236">
        <v>122</v>
      </c>
      <c r="C148" s="580" t="s">
        <v>143</v>
      </c>
      <c r="D148" s="581"/>
      <c r="E148" s="186" t="s">
        <v>139</v>
      </c>
      <c r="F148" s="187">
        <v>0</v>
      </c>
      <c r="G148" s="239" t="s">
        <v>85</v>
      </c>
      <c r="H148" s="243">
        <v>0</v>
      </c>
      <c r="I148" s="373">
        <f t="shared" si="35"/>
        <v>0</v>
      </c>
      <c r="J148" s="250" t="s">
        <v>139</v>
      </c>
      <c r="K148" s="508" t="s">
        <v>139</v>
      </c>
      <c r="L148" s="399" t="s">
        <v>139</v>
      </c>
      <c r="M148" s="403">
        <v>0</v>
      </c>
      <c r="N148" s="282" t="s">
        <v>139</v>
      </c>
      <c r="O148" s="302" t="str">
        <f>IF(OR(M148=0,N148="NA"),"NA",IFERROR(INDEX('Data - Reference'!$B$37:$B$50,MATCH('Unit Summary - Rent Roll'!$M148,INDEX('Data - Reference'!$B$37:$J$50,,MATCH('Unit Summary - Rent Roll'!$N148,'Data - Reference'!$B$37:$J$37,0)),-1),1),"NA"))</f>
        <v>NA</v>
      </c>
      <c r="P148" s="239" t="s">
        <v>85</v>
      </c>
      <c r="Q148" s="239" t="s">
        <v>85</v>
      </c>
      <c r="R148" s="188">
        <v>0</v>
      </c>
      <c r="S148" s="364">
        <f t="shared" si="36"/>
        <v>0</v>
      </c>
      <c r="T148" s="97">
        <f t="shared" si="37"/>
        <v>0</v>
      </c>
      <c r="U148" s="188">
        <v>0</v>
      </c>
      <c r="V148" s="364">
        <f t="shared" si="38"/>
        <v>0</v>
      </c>
      <c r="W148" s="97">
        <f t="shared" si="39"/>
        <v>0</v>
      </c>
      <c r="X148" s="71">
        <f>IFERROR(IF(INDEX(AC$14:AC$18,MATCH($E148,$AB$14:$AB$18,0))&lt;&gt;0,INDEX(AC$14:AC$18,MATCH($E148,$AB$14:$AB$18,0)),
IF($M148="Market",0,IF($L148="HUD FMR",INDEX('Data - Reference'!$B$31:$G$31,MATCH($E148,'Data - Reference'!$B$9:$G$9,0)),INDEX('Data - Reference'!$B$9:$G$31,MATCH($K148,'Data - Reference'!$B$9:$B$31,0),MATCH($E148,'Data - Reference'!$B$9:$G$9,0))))),0)</f>
        <v>0</v>
      </c>
      <c r="Y148" s="71">
        <f>IFERROR(IF(INDEX(AD$14:AD$18,MATCH($E148,$AB$14:$AB$18,0))&lt;&gt;0,INDEX(AD$14:AD$18,MATCH($E148,$AB$14:$AB$18,0)),
IF($K148="None - Market",0,-INDEX('Data - Reference'!$B$32:$G$32,MATCH($E148,'Data - Reference'!$B$9:$G$9,0)))),0)</f>
        <v>0</v>
      </c>
      <c r="Z148" s="74">
        <f t="shared" si="20"/>
        <v>0</v>
      </c>
      <c r="AA148" s="67">
        <f t="shared" si="40"/>
        <v>0</v>
      </c>
      <c r="AB148" s="97">
        <f t="shared" si="41"/>
        <v>0</v>
      </c>
      <c r="AC148" s="82">
        <f t="shared" si="5"/>
        <v>0</v>
      </c>
      <c r="AD148" s="83">
        <f t="shared" si="42"/>
        <v>0</v>
      </c>
      <c r="AE148" s="97">
        <f t="shared" si="43"/>
        <v>0</v>
      </c>
      <c r="AF148" s="415" t="str">
        <f t="shared" si="21"/>
        <v>NA</v>
      </c>
      <c r="AG148" s="420" t="str">
        <f t="shared" si="44"/>
        <v>NA</v>
      </c>
      <c r="AH148" s="420" t="str">
        <f t="shared" si="45"/>
        <v>NA</v>
      </c>
      <c r="AI148" s="417" t="str">
        <f t="shared" si="46"/>
        <v>NA</v>
      </c>
      <c r="AJ148" s="417" t="str">
        <f t="shared" si="47"/>
        <v>NA</v>
      </c>
      <c r="AK148" s="524" t="str">
        <f>IFERROR(INDEX('Legacy Resident Reference'!R:R,MATCH('Unit Summary - Rent Roll'!AJ148,'Legacy Resident Reference'!P:P,0)),"NA")</f>
        <v>NA</v>
      </c>
    </row>
    <row r="149" spans="2:37" ht="13.8" hidden="1" outlineLevel="1" x14ac:dyDescent="0.3">
      <c r="B149" s="236">
        <v>123</v>
      </c>
      <c r="C149" s="580" t="s">
        <v>143</v>
      </c>
      <c r="D149" s="581"/>
      <c r="E149" s="186" t="s">
        <v>139</v>
      </c>
      <c r="F149" s="187">
        <v>0</v>
      </c>
      <c r="G149" s="239" t="s">
        <v>85</v>
      </c>
      <c r="H149" s="243">
        <v>0</v>
      </c>
      <c r="I149" s="373">
        <f t="shared" si="35"/>
        <v>0</v>
      </c>
      <c r="J149" s="250" t="s">
        <v>139</v>
      </c>
      <c r="K149" s="508" t="s">
        <v>139</v>
      </c>
      <c r="L149" s="399" t="s">
        <v>139</v>
      </c>
      <c r="M149" s="403">
        <v>0</v>
      </c>
      <c r="N149" s="282" t="s">
        <v>139</v>
      </c>
      <c r="O149" s="302" t="str">
        <f>IF(OR(M149=0,N149="NA"),"NA",IFERROR(INDEX('Data - Reference'!$B$37:$B$50,MATCH('Unit Summary - Rent Roll'!$M149,INDEX('Data - Reference'!$B$37:$J$50,,MATCH('Unit Summary - Rent Roll'!$N149,'Data - Reference'!$B$37:$J$37,0)),-1),1),"NA"))</f>
        <v>NA</v>
      </c>
      <c r="P149" s="239" t="s">
        <v>85</v>
      </c>
      <c r="Q149" s="239" t="s">
        <v>85</v>
      </c>
      <c r="R149" s="188">
        <v>0</v>
      </c>
      <c r="S149" s="364">
        <f t="shared" si="36"/>
        <v>0</v>
      </c>
      <c r="T149" s="97">
        <f t="shared" si="37"/>
        <v>0</v>
      </c>
      <c r="U149" s="188">
        <v>0</v>
      </c>
      <c r="V149" s="364">
        <f t="shared" si="38"/>
        <v>0</v>
      </c>
      <c r="W149" s="97">
        <f t="shared" si="39"/>
        <v>0</v>
      </c>
      <c r="X149" s="71">
        <f>IFERROR(IF(INDEX(AC$14:AC$18,MATCH($E149,$AB$14:$AB$18,0))&lt;&gt;0,INDEX(AC$14:AC$18,MATCH($E149,$AB$14:$AB$18,0)),
IF($M149="Market",0,IF($L149="HUD FMR",INDEX('Data - Reference'!$B$31:$G$31,MATCH($E149,'Data - Reference'!$B$9:$G$9,0)),INDEX('Data - Reference'!$B$9:$G$31,MATCH($K149,'Data - Reference'!$B$9:$B$31,0),MATCH($E149,'Data - Reference'!$B$9:$G$9,0))))),0)</f>
        <v>0</v>
      </c>
      <c r="Y149" s="71">
        <f>IFERROR(IF(INDEX(AD$14:AD$18,MATCH($E149,$AB$14:$AB$18,0))&lt;&gt;0,INDEX(AD$14:AD$18,MATCH($E149,$AB$14:$AB$18,0)),
IF($K149="None - Market",0,-INDEX('Data - Reference'!$B$32:$G$32,MATCH($E149,'Data - Reference'!$B$9:$G$9,0)))),0)</f>
        <v>0</v>
      </c>
      <c r="Z149" s="74">
        <f t="shared" si="20"/>
        <v>0</v>
      </c>
      <c r="AA149" s="67">
        <f t="shared" si="40"/>
        <v>0</v>
      </c>
      <c r="AB149" s="97">
        <f t="shared" si="41"/>
        <v>0</v>
      </c>
      <c r="AC149" s="82">
        <f t="shared" si="5"/>
        <v>0</v>
      </c>
      <c r="AD149" s="83">
        <f t="shared" si="42"/>
        <v>0</v>
      </c>
      <c r="AE149" s="97">
        <f t="shared" si="43"/>
        <v>0</v>
      </c>
      <c r="AF149" s="415" t="str">
        <f t="shared" si="21"/>
        <v>NA</v>
      </c>
      <c r="AG149" s="420" t="str">
        <f t="shared" si="44"/>
        <v>NA</v>
      </c>
      <c r="AH149" s="420" t="str">
        <f t="shared" si="45"/>
        <v>NA</v>
      </c>
      <c r="AI149" s="417" t="str">
        <f t="shared" si="46"/>
        <v>NA</v>
      </c>
      <c r="AJ149" s="417" t="str">
        <f t="shared" si="47"/>
        <v>NA</v>
      </c>
      <c r="AK149" s="524" t="str">
        <f>IFERROR(INDEX('Legacy Resident Reference'!R:R,MATCH('Unit Summary - Rent Roll'!AJ149,'Legacy Resident Reference'!P:P,0)),"NA")</f>
        <v>NA</v>
      </c>
    </row>
    <row r="150" spans="2:37" ht="13.8" hidden="1" outlineLevel="1" x14ac:dyDescent="0.3">
      <c r="B150" s="236">
        <v>124</v>
      </c>
      <c r="C150" s="580" t="s">
        <v>143</v>
      </c>
      <c r="D150" s="581"/>
      <c r="E150" s="186" t="s">
        <v>139</v>
      </c>
      <c r="F150" s="187">
        <v>0</v>
      </c>
      <c r="G150" s="239" t="s">
        <v>85</v>
      </c>
      <c r="H150" s="243">
        <v>0</v>
      </c>
      <c r="I150" s="373">
        <f t="shared" si="35"/>
        <v>0</v>
      </c>
      <c r="J150" s="250" t="s">
        <v>139</v>
      </c>
      <c r="K150" s="508" t="s">
        <v>139</v>
      </c>
      <c r="L150" s="399" t="s">
        <v>139</v>
      </c>
      <c r="M150" s="403">
        <v>0</v>
      </c>
      <c r="N150" s="282" t="s">
        <v>139</v>
      </c>
      <c r="O150" s="302" t="str">
        <f>IF(OR(M150=0,N150="NA"),"NA",IFERROR(INDEX('Data - Reference'!$B$37:$B$50,MATCH('Unit Summary - Rent Roll'!$M150,INDEX('Data - Reference'!$B$37:$J$50,,MATCH('Unit Summary - Rent Roll'!$N150,'Data - Reference'!$B$37:$J$37,0)),-1),1),"NA"))</f>
        <v>NA</v>
      </c>
      <c r="P150" s="239" t="s">
        <v>85</v>
      </c>
      <c r="Q150" s="239" t="s">
        <v>85</v>
      </c>
      <c r="R150" s="188">
        <v>0</v>
      </c>
      <c r="S150" s="364">
        <f t="shared" si="36"/>
        <v>0</v>
      </c>
      <c r="T150" s="97">
        <f t="shared" si="37"/>
        <v>0</v>
      </c>
      <c r="U150" s="188">
        <v>0</v>
      </c>
      <c r="V150" s="364">
        <f t="shared" si="38"/>
        <v>0</v>
      </c>
      <c r="W150" s="97">
        <f t="shared" si="39"/>
        <v>0</v>
      </c>
      <c r="X150" s="71">
        <f>IFERROR(IF(INDEX(AC$14:AC$18,MATCH($E150,$AB$14:$AB$18,0))&lt;&gt;0,INDEX(AC$14:AC$18,MATCH($E150,$AB$14:$AB$18,0)),
IF($M150="Market",0,IF($L150="HUD FMR",INDEX('Data - Reference'!$B$31:$G$31,MATCH($E150,'Data - Reference'!$B$9:$G$9,0)),INDEX('Data - Reference'!$B$9:$G$31,MATCH($K150,'Data - Reference'!$B$9:$B$31,0),MATCH($E150,'Data - Reference'!$B$9:$G$9,0))))),0)</f>
        <v>0</v>
      </c>
      <c r="Y150" s="71">
        <f>IFERROR(IF(INDEX(AD$14:AD$18,MATCH($E150,$AB$14:$AB$18,0))&lt;&gt;0,INDEX(AD$14:AD$18,MATCH($E150,$AB$14:$AB$18,0)),
IF($K150="None - Market",0,-INDEX('Data - Reference'!$B$32:$G$32,MATCH($E150,'Data - Reference'!$B$9:$G$9,0)))),0)</f>
        <v>0</v>
      </c>
      <c r="Z150" s="74">
        <f t="shared" si="20"/>
        <v>0</v>
      </c>
      <c r="AA150" s="67">
        <f t="shared" si="40"/>
        <v>0</v>
      </c>
      <c r="AB150" s="97">
        <f t="shared" si="41"/>
        <v>0</v>
      </c>
      <c r="AC150" s="82">
        <f t="shared" si="5"/>
        <v>0</v>
      </c>
      <c r="AD150" s="83">
        <f t="shared" si="42"/>
        <v>0</v>
      </c>
      <c r="AE150" s="97">
        <f t="shared" si="43"/>
        <v>0</v>
      </c>
      <c r="AF150" s="415" t="str">
        <f t="shared" si="21"/>
        <v>NA</v>
      </c>
      <c r="AG150" s="420" t="str">
        <f t="shared" si="44"/>
        <v>NA</v>
      </c>
      <c r="AH150" s="420" t="str">
        <f t="shared" si="45"/>
        <v>NA</v>
      </c>
      <c r="AI150" s="417" t="str">
        <f t="shared" si="46"/>
        <v>NA</v>
      </c>
      <c r="AJ150" s="417" t="str">
        <f t="shared" si="47"/>
        <v>NA</v>
      </c>
      <c r="AK150" s="524" t="str">
        <f>IFERROR(INDEX('Legacy Resident Reference'!R:R,MATCH('Unit Summary - Rent Roll'!AJ150,'Legacy Resident Reference'!P:P,0)),"NA")</f>
        <v>NA</v>
      </c>
    </row>
    <row r="151" spans="2:37" ht="13.8" hidden="1" outlineLevel="1" x14ac:dyDescent="0.3">
      <c r="B151" s="236">
        <v>125</v>
      </c>
      <c r="C151" s="580" t="s">
        <v>143</v>
      </c>
      <c r="D151" s="581"/>
      <c r="E151" s="186" t="s">
        <v>139</v>
      </c>
      <c r="F151" s="187">
        <v>0</v>
      </c>
      <c r="G151" s="239" t="s">
        <v>85</v>
      </c>
      <c r="H151" s="243">
        <v>0</v>
      </c>
      <c r="I151" s="373">
        <f t="shared" si="35"/>
        <v>0</v>
      </c>
      <c r="J151" s="250" t="s">
        <v>139</v>
      </c>
      <c r="K151" s="508" t="s">
        <v>139</v>
      </c>
      <c r="L151" s="399" t="s">
        <v>139</v>
      </c>
      <c r="M151" s="403">
        <v>0</v>
      </c>
      <c r="N151" s="282" t="s">
        <v>139</v>
      </c>
      <c r="O151" s="302" t="str">
        <f>IF(OR(M151=0,N151="NA"),"NA",IFERROR(INDEX('Data - Reference'!$B$37:$B$50,MATCH('Unit Summary - Rent Roll'!$M151,INDEX('Data - Reference'!$B$37:$J$50,,MATCH('Unit Summary - Rent Roll'!$N151,'Data - Reference'!$B$37:$J$37,0)),-1),1),"NA"))</f>
        <v>NA</v>
      </c>
      <c r="P151" s="239" t="s">
        <v>85</v>
      </c>
      <c r="Q151" s="239" t="s">
        <v>85</v>
      </c>
      <c r="R151" s="188">
        <v>0</v>
      </c>
      <c r="S151" s="364">
        <f t="shared" si="36"/>
        <v>0</v>
      </c>
      <c r="T151" s="97">
        <f t="shared" si="37"/>
        <v>0</v>
      </c>
      <c r="U151" s="188">
        <v>0</v>
      </c>
      <c r="V151" s="364">
        <f t="shared" si="38"/>
        <v>0</v>
      </c>
      <c r="W151" s="97">
        <f t="shared" si="39"/>
        <v>0</v>
      </c>
      <c r="X151" s="71">
        <f>IFERROR(IF(INDEX(AC$14:AC$18,MATCH($E151,$AB$14:$AB$18,0))&lt;&gt;0,INDEX(AC$14:AC$18,MATCH($E151,$AB$14:$AB$18,0)),
IF($M151="Market",0,IF($L151="HUD FMR",INDEX('Data - Reference'!$B$31:$G$31,MATCH($E151,'Data - Reference'!$B$9:$G$9,0)),INDEX('Data - Reference'!$B$9:$G$31,MATCH($K151,'Data - Reference'!$B$9:$B$31,0),MATCH($E151,'Data - Reference'!$B$9:$G$9,0))))),0)</f>
        <v>0</v>
      </c>
      <c r="Y151" s="71">
        <f>IFERROR(IF(INDEX(AD$14:AD$18,MATCH($E151,$AB$14:$AB$18,0))&lt;&gt;0,INDEX(AD$14:AD$18,MATCH($E151,$AB$14:$AB$18,0)),
IF($K151="None - Market",0,-INDEX('Data - Reference'!$B$32:$G$32,MATCH($E151,'Data - Reference'!$B$9:$G$9,0)))),0)</f>
        <v>0</v>
      </c>
      <c r="Z151" s="74">
        <f t="shared" si="20"/>
        <v>0</v>
      </c>
      <c r="AA151" s="67">
        <f t="shared" si="40"/>
        <v>0</v>
      </c>
      <c r="AB151" s="97">
        <f t="shared" si="41"/>
        <v>0</v>
      </c>
      <c r="AC151" s="82">
        <f t="shared" si="5"/>
        <v>0</v>
      </c>
      <c r="AD151" s="83">
        <f t="shared" si="42"/>
        <v>0</v>
      </c>
      <c r="AE151" s="97">
        <f t="shared" si="43"/>
        <v>0</v>
      </c>
      <c r="AF151" s="415" t="str">
        <f t="shared" si="21"/>
        <v>NA</v>
      </c>
      <c r="AG151" s="420" t="str">
        <f t="shared" si="44"/>
        <v>NA</v>
      </c>
      <c r="AH151" s="420" t="str">
        <f t="shared" si="45"/>
        <v>NA</v>
      </c>
      <c r="AI151" s="417" t="str">
        <f t="shared" si="46"/>
        <v>NA</v>
      </c>
      <c r="AJ151" s="417" t="str">
        <f t="shared" si="47"/>
        <v>NA</v>
      </c>
      <c r="AK151" s="524" t="str">
        <f>IFERROR(INDEX('Legacy Resident Reference'!R:R,MATCH('Unit Summary - Rent Roll'!AJ151,'Legacy Resident Reference'!P:P,0)),"NA")</f>
        <v>NA</v>
      </c>
    </row>
    <row r="152" spans="2:37" ht="13.8" hidden="1" outlineLevel="1" x14ac:dyDescent="0.3">
      <c r="B152" s="236">
        <v>126</v>
      </c>
      <c r="C152" s="580" t="s">
        <v>143</v>
      </c>
      <c r="D152" s="581"/>
      <c r="E152" s="186" t="s">
        <v>139</v>
      </c>
      <c r="F152" s="187">
        <v>0</v>
      </c>
      <c r="G152" s="239" t="s">
        <v>85</v>
      </c>
      <c r="H152" s="243">
        <v>0</v>
      </c>
      <c r="I152" s="373">
        <f t="shared" si="35"/>
        <v>0</v>
      </c>
      <c r="J152" s="250" t="s">
        <v>139</v>
      </c>
      <c r="K152" s="508" t="s">
        <v>139</v>
      </c>
      <c r="L152" s="399" t="s">
        <v>139</v>
      </c>
      <c r="M152" s="403">
        <v>0</v>
      </c>
      <c r="N152" s="282" t="s">
        <v>139</v>
      </c>
      <c r="O152" s="302" t="str">
        <f>IF(OR(M152=0,N152="NA"),"NA",IFERROR(INDEX('Data - Reference'!$B$37:$B$50,MATCH('Unit Summary - Rent Roll'!$M152,INDEX('Data - Reference'!$B$37:$J$50,,MATCH('Unit Summary - Rent Roll'!$N152,'Data - Reference'!$B$37:$J$37,0)),-1),1),"NA"))</f>
        <v>NA</v>
      </c>
      <c r="P152" s="239" t="s">
        <v>85</v>
      </c>
      <c r="Q152" s="239" t="s">
        <v>85</v>
      </c>
      <c r="R152" s="188">
        <v>0</v>
      </c>
      <c r="S152" s="364">
        <f t="shared" si="36"/>
        <v>0</v>
      </c>
      <c r="T152" s="97">
        <f t="shared" si="37"/>
        <v>0</v>
      </c>
      <c r="U152" s="188">
        <v>0</v>
      </c>
      <c r="V152" s="364">
        <f t="shared" si="38"/>
        <v>0</v>
      </c>
      <c r="W152" s="97">
        <f t="shared" si="39"/>
        <v>0</v>
      </c>
      <c r="X152" s="71">
        <f>IFERROR(IF(INDEX(AC$14:AC$18,MATCH($E152,$AB$14:$AB$18,0))&lt;&gt;0,INDEX(AC$14:AC$18,MATCH($E152,$AB$14:$AB$18,0)),
IF($M152="Market",0,IF($L152="HUD FMR",INDEX('Data - Reference'!$B$31:$G$31,MATCH($E152,'Data - Reference'!$B$9:$G$9,0)),INDEX('Data - Reference'!$B$9:$G$31,MATCH($K152,'Data - Reference'!$B$9:$B$31,0),MATCH($E152,'Data - Reference'!$B$9:$G$9,0))))),0)</f>
        <v>0</v>
      </c>
      <c r="Y152" s="71">
        <f>IFERROR(IF(INDEX(AD$14:AD$18,MATCH($E152,$AB$14:$AB$18,0))&lt;&gt;0,INDEX(AD$14:AD$18,MATCH($E152,$AB$14:$AB$18,0)),
IF($K152="None - Market",0,-INDEX('Data - Reference'!$B$32:$G$32,MATCH($E152,'Data - Reference'!$B$9:$G$9,0)))),0)</f>
        <v>0</v>
      </c>
      <c r="Z152" s="74">
        <f t="shared" si="20"/>
        <v>0</v>
      </c>
      <c r="AA152" s="67">
        <f t="shared" si="40"/>
        <v>0</v>
      </c>
      <c r="AB152" s="97">
        <f t="shared" si="41"/>
        <v>0</v>
      </c>
      <c r="AC152" s="82">
        <f t="shared" si="5"/>
        <v>0</v>
      </c>
      <c r="AD152" s="83">
        <f t="shared" si="42"/>
        <v>0</v>
      </c>
      <c r="AE152" s="97">
        <f t="shared" si="43"/>
        <v>0</v>
      </c>
      <c r="AF152" s="415" t="str">
        <f t="shared" si="21"/>
        <v>NA</v>
      </c>
      <c r="AG152" s="420" t="str">
        <f t="shared" si="44"/>
        <v>NA</v>
      </c>
      <c r="AH152" s="420" t="str">
        <f t="shared" si="45"/>
        <v>NA</v>
      </c>
      <c r="AI152" s="417" t="str">
        <f t="shared" si="46"/>
        <v>NA</v>
      </c>
      <c r="AJ152" s="417" t="str">
        <f t="shared" si="47"/>
        <v>NA</v>
      </c>
      <c r="AK152" s="524" t="str">
        <f>IFERROR(INDEX('Legacy Resident Reference'!R:R,MATCH('Unit Summary - Rent Roll'!AJ152,'Legacy Resident Reference'!P:P,0)),"NA")</f>
        <v>NA</v>
      </c>
    </row>
    <row r="153" spans="2:37" ht="13.8" hidden="1" outlineLevel="1" x14ac:dyDescent="0.3">
      <c r="B153" s="236">
        <v>127</v>
      </c>
      <c r="C153" s="580" t="s">
        <v>143</v>
      </c>
      <c r="D153" s="581"/>
      <c r="E153" s="186" t="s">
        <v>139</v>
      </c>
      <c r="F153" s="187">
        <v>0</v>
      </c>
      <c r="G153" s="239" t="s">
        <v>85</v>
      </c>
      <c r="H153" s="243">
        <v>0</v>
      </c>
      <c r="I153" s="373">
        <f t="shared" si="35"/>
        <v>0</v>
      </c>
      <c r="J153" s="250" t="s">
        <v>139</v>
      </c>
      <c r="K153" s="508" t="s">
        <v>139</v>
      </c>
      <c r="L153" s="399" t="s">
        <v>139</v>
      </c>
      <c r="M153" s="403">
        <v>0</v>
      </c>
      <c r="N153" s="282" t="s">
        <v>139</v>
      </c>
      <c r="O153" s="302" t="str">
        <f>IF(OR(M153=0,N153="NA"),"NA",IFERROR(INDEX('Data - Reference'!$B$37:$B$50,MATCH('Unit Summary - Rent Roll'!$M153,INDEX('Data - Reference'!$B$37:$J$50,,MATCH('Unit Summary - Rent Roll'!$N153,'Data - Reference'!$B$37:$J$37,0)),-1),1),"NA"))</f>
        <v>NA</v>
      </c>
      <c r="P153" s="239" t="s">
        <v>85</v>
      </c>
      <c r="Q153" s="239" t="s">
        <v>85</v>
      </c>
      <c r="R153" s="188">
        <v>0</v>
      </c>
      <c r="S153" s="364">
        <f t="shared" si="36"/>
        <v>0</v>
      </c>
      <c r="T153" s="97">
        <f t="shared" si="37"/>
        <v>0</v>
      </c>
      <c r="U153" s="188">
        <v>0</v>
      </c>
      <c r="V153" s="364">
        <f t="shared" si="38"/>
        <v>0</v>
      </c>
      <c r="W153" s="97">
        <f t="shared" si="39"/>
        <v>0</v>
      </c>
      <c r="X153" s="71">
        <f>IFERROR(IF(INDEX(AC$14:AC$18,MATCH($E153,$AB$14:$AB$18,0))&lt;&gt;0,INDEX(AC$14:AC$18,MATCH($E153,$AB$14:$AB$18,0)),
IF($M153="Market",0,IF($L153="HUD FMR",INDEX('Data - Reference'!$B$31:$G$31,MATCH($E153,'Data - Reference'!$B$9:$G$9,0)),INDEX('Data - Reference'!$B$9:$G$31,MATCH($K153,'Data - Reference'!$B$9:$B$31,0),MATCH($E153,'Data - Reference'!$B$9:$G$9,0))))),0)</f>
        <v>0</v>
      </c>
      <c r="Y153" s="71">
        <f>IFERROR(IF(INDEX(AD$14:AD$18,MATCH($E153,$AB$14:$AB$18,0))&lt;&gt;0,INDEX(AD$14:AD$18,MATCH($E153,$AB$14:$AB$18,0)),
IF($K153="None - Market",0,-INDEX('Data - Reference'!$B$32:$G$32,MATCH($E153,'Data - Reference'!$B$9:$G$9,0)))),0)</f>
        <v>0</v>
      </c>
      <c r="Z153" s="74">
        <f t="shared" si="20"/>
        <v>0</v>
      </c>
      <c r="AA153" s="67">
        <f t="shared" si="40"/>
        <v>0</v>
      </c>
      <c r="AB153" s="97">
        <f t="shared" si="41"/>
        <v>0</v>
      </c>
      <c r="AC153" s="82">
        <f t="shared" si="5"/>
        <v>0</v>
      </c>
      <c r="AD153" s="83">
        <f t="shared" si="42"/>
        <v>0</v>
      </c>
      <c r="AE153" s="97">
        <f t="shared" si="43"/>
        <v>0</v>
      </c>
      <c r="AF153" s="415" t="str">
        <f t="shared" si="21"/>
        <v>NA</v>
      </c>
      <c r="AG153" s="420" t="str">
        <f t="shared" si="44"/>
        <v>NA</v>
      </c>
      <c r="AH153" s="420" t="str">
        <f t="shared" si="45"/>
        <v>NA</v>
      </c>
      <c r="AI153" s="417" t="str">
        <f t="shared" si="46"/>
        <v>NA</v>
      </c>
      <c r="AJ153" s="417" t="str">
        <f t="shared" si="47"/>
        <v>NA</v>
      </c>
      <c r="AK153" s="524" t="str">
        <f>IFERROR(INDEX('Legacy Resident Reference'!R:R,MATCH('Unit Summary - Rent Roll'!AJ153,'Legacy Resident Reference'!P:P,0)),"NA")</f>
        <v>NA</v>
      </c>
    </row>
    <row r="154" spans="2:37" ht="13.8" hidden="1" outlineLevel="1" x14ac:dyDescent="0.3">
      <c r="B154" s="236">
        <v>128</v>
      </c>
      <c r="C154" s="580" t="s">
        <v>143</v>
      </c>
      <c r="D154" s="581"/>
      <c r="E154" s="186" t="s">
        <v>139</v>
      </c>
      <c r="F154" s="187">
        <v>0</v>
      </c>
      <c r="G154" s="239" t="s">
        <v>85</v>
      </c>
      <c r="H154" s="243">
        <v>0</v>
      </c>
      <c r="I154" s="373">
        <f t="shared" si="35"/>
        <v>0</v>
      </c>
      <c r="J154" s="250" t="s">
        <v>139</v>
      </c>
      <c r="K154" s="508" t="s">
        <v>139</v>
      </c>
      <c r="L154" s="399" t="s">
        <v>139</v>
      </c>
      <c r="M154" s="403">
        <v>0</v>
      </c>
      <c r="N154" s="282" t="s">
        <v>139</v>
      </c>
      <c r="O154" s="302" t="str">
        <f>IF(OR(M154=0,N154="NA"),"NA",IFERROR(INDEX('Data - Reference'!$B$37:$B$50,MATCH('Unit Summary - Rent Roll'!$M154,INDEX('Data - Reference'!$B$37:$J$50,,MATCH('Unit Summary - Rent Roll'!$N154,'Data - Reference'!$B$37:$J$37,0)),-1),1),"NA"))</f>
        <v>NA</v>
      </c>
      <c r="P154" s="239" t="s">
        <v>85</v>
      </c>
      <c r="Q154" s="239" t="s">
        <v>85</v>
      </c>
      <c r="R154" s="188">
        <v>0</v>
      </c>
      <c r="S154" s="364">
        <f t="shared" si="36"/>
        <v>0</v>
      </c>
      <c r="T154" s="97">
        <f t="shared" si="37"/>
        <v>0</v>
      </c>
      <c r="U154" s="188">
        <v>0</v>
      </c>
      <c r="V154" s="364">
        <f t="shared" si="38"/>
        <v>0</v>
      </c>
      <c r="W154" s="97">
        <f t="shared" si="39"/>
        <v>0</v>
      </c>
      <c r="X154" s="71">
        <f>IFERROR(IF(INDEX(AC$14:AC$18,MATCH($E154,$AB$14:$AB$18,0))&lt;&gt;0,INDEX(AC$14:AC$18,MATCH($E154,$AB$14:$AB$18,0)),
IF($M154="Market",0,IF($L154="HUD FMR",INDEX('Data - Reference'!$B$31:$G$31,MATCH($E154,'Data - Reference'!$B$9:$G$9,0)),INDEX('Data - Reference'!$B$9:$G$31,MATCH($K154,'Data - Reference'!$B$9:$B$31,0),MATCH($E154,'Data - Reference'!$B$9:$G$9,0))))),0)</f>
        <v>0</v>
      </c>
      <c r="Y154" s="71">
        <f>IFERROR(IF(INDEX(AD$14:AD$18,MATCH($E154,$AB$14:$AB$18,0))&lt;&gt;0,INDEX(AD$14:AD$18,MATCH($E154,$AB$14:$AB$18,0)),
IF($K154="None - Market",0,-INDEX('Data - Reference'!$B$32:$G$32,MATCH($E154,'Data - Reference'!$B$9:$G$9,0)))),0)</f>
        <v>0</v>
      </c>
      <c r="Z154" s="74">
        <f t="shared" si="20"/>
        <v>0</v>
      </c>
      <c r="AA154" s="67">
        <f t="shared" si="40"/>
        <v>0</v>
      </c>
      <c r="AB154" s="97">
        <f t="shared" si="41"/>
        <v>0</v>
      </c>
      <c r="AC154" s="82">
        <f t="shared" si="5"/>
        <v>0</v>
      </c>
      <c r="AD154" s="83">
        <f t="shared" si="42"/>
        <v>0</v>
      </c>
      <c r="AE154" s="97">
        <f t="shared" si="43"/>
        <v>0</v>
      </c>
      <c r="AF154" s="415" t="str">
        <f t="shared" si="21"/>
        <v>NA</v>
      </c>
      <c r="AG154" s="420" t="str">
        <f t="shared" si="44"/>
        <v>NA</v>
      </c>
      <c r="AH154" s="420" t="str">
        <f t="shared" si="45"/>
        <v>NA</v>
      </c>
      <c r="AI154" s="417" t="str">
        <f t="shared" si="46"/>
        <v>NA</v>
      </c>
      <c r="AJ154" s="417" t="str">
        <f t="shared" si="47"/>
        <v>NA</v>
      </c>
      <c r="AK154" s="524" t="str">
        <f>IFERROR(INDEX('Legacy Resident Reference'!R:R,MATCH('Unit Summary - Rent Roll'!AJ154,'Legacy Resident Reference'!P:P,0)),"NA")</f>
        <v>NA</v>
      </c>
    </row>
    <row r="155" spans="2:37" ht="13.8" hidden="1" outlineLevel="1" x14ac:dyDescent="0.3">
      <c r="B155" s="236">
        <v>129</v>
      </c>
      <c r="C155" s="580" t="s">
        <v>143</v>
      </c>
      <c r="D155" s="581"/>
      <c r="E155" s="186" t="s">
        <v>139</v>
      </c>
      <c r="F155" s="187">
        <v>0</v>
      </c>
      <c r="G155" s="239" t="s">
        <v>85</v>
      </c>
      <c r="H155" s="243">
        <v>0</v>
      </c>
      <c r="I155" s="373">
        <f t="shared" si="35"/>
        <v>0</v>
      </c>
      <c r="J155" s="250" t="s">
        <v>139</v>
      </c>
      <c r="K155" s="508" t="s">
        <v>139</v>
      </c>
      <c r="L155" s="399" t="s">
        <v>139</v>
      </c>
      <c r="M155" s="403">
        <v>0</v>
      </c>
      <c r="N155" s="282" t="s">
        <v>139</v>
      </c>
      <c r="O155" s="302" t="str">
        <f>IF(OR(M155=0,N155="NA"),"NA",IFERROR(INDEX('Data - Reference'!$B$37:$B$50,MATCH('Unit Summary - Rent Roll'!$M155,INDEX('Data - Reference'!$B$37:$J$50,,MATCH('Unit Summary - Rent Roll'!$N155,'Data - Reference'!$B$37:$J$37,0)),-1),1),"NA"))</f>
        <v>NA</v>
      </c>
      <c r="P155" s="239" t="s">
        <v>85</v>
      </c>
      <c r="Q155" s="239" t="s">
        <v>85</v>
      </c>
      <c r="R155" s="188">
        <v>0</v>
      </c>
      <c r="S155" s="364">
        <f t="shared" si="36"/>
        <v>0</v>
      </c>
      <c r="T155" s="97">
        <f t="shared" si="37"/>
        <v>0</v>
      </c>
      <c r="U155" s="188">
        <v>0</v>
      </c>
      <c r="V155" s="364">
        <f t="shared" si="38"/>
        <v>0</v>
      </c>
      <c r="W155" s="97">
        <f t="shared" si="39"/>
        <v>0</v>
      </c>
      <c r="X155" s="71">
        <f>IFERROR(IF(INDEX(AC$14:AC$18,MATCH($E155,$AB$14:$AB$18,0))&lt;&gt;0,INDEX(AC$14:AC$18,MATCH($E155,$AB$14:$AB$18,0)),
IF($M155="Market",0,IF($L155="HUD FMR",INDEX('Data - Reference'!$B$31:$G$31,MATCH($E155,'Data - Reference'!$B$9:$G$9,0)),INDEX('Data - Reference'!$B$9:$G$31,MATCH($K155,'Data - Reference'!$B$9:$B$31,0),MATCH($E155,'Data - Reference'!$B$9:$G$9,0))))),0)</f>
        <v>0</v>
      </c>
      <c r="Y155" s="71">
        <f>IFERROR(IF(INDEX(AD$14:AD$18,MATCH($E155,$AB$14:$AB$18,0))&lt;&gt;0,INDEX(AD$14:AD$18,MATCH($E155,$AB$14:$AB$18,0)),
IF($K155="None - Market",0,-INDEX('Data - Reference'!$B$32:$G$32,MATCH($E155,'Data - Reference'!$B$9:$G$9,0)))),0)</f>
        <v>0</v>
      </c>
      <c r="Z155" s="74">
        <f t="shared" si="20"/>
        <v>0</v>
      </c>
      <c r="AA155" s="67">
        <f t="shared" si="40"/>
        <v>0</v>
      </c>
      <c r="AB155" s="97">
        <f t="shared" si="41"/>
        <v>0</v>
      </c>
      <c r="AC155" s="82">
        <f t="shared" si="5"/>
        <v>0</v>
      </c>
      <c r="AD155" s="83">
        <f t="shared" si="42"/>
        <v>0</v>
      </c>
      <c r="AE155" s="97">
        <f t="shared" si="43"/>
        <v>0</v>
      </c>
      <c r="AF155" s="415" t="str">
        <f t="shared" si="21"/>
        <v>NA</v>
      </c>
      <c r="AG155" s="420" t="str">
        <f t="shared" si="44"/>
        <v>NA</v>
      </c>
      <c r="AH155" s="420" t="str">
        <f t="shared" si="45"/>
        <v>NA</v>
      </c>
      <c r="AI155" s="417" t="str">
        <f t="shared" si="46"/>
        <v>NA</v>
      </c>
      <c r="AJ155" s="417" t="str">
        <f t="shared" si="47"/>
        <v>NA</v>
      </c>
      <c r="AK155" s="524" t="str">
        <f>IFERROR(INDEX('Legacy Resident Reference'!R:R,MATCH('Unit Summary - Rent Roll'!AJ155,'Legacy Resident Reference'!P:P,0)),"NA")</f>
        <v>NA</v>
      </c>
    </row>
    <row r="156" spans="2:37" ht="13.8" hidden="1" outlineLevel="1" x14ac:dyDescent="0.3">
      <c r="B156" s="236">
        <v>130</v>
      </c>
      <c r="C156" s="580" t="s">
        <v>143</v>
      </c>
      <c r="D156" s="581"/>
      <c r="E156" s="186" t="s">
        <v>139</v>
      </c>
      <c r="F156" s="187">
        <v>0</v>
      </c>
      <c r="G156" s="239" t="s">
        <v>85</v>
      </c>
      <c r="H156" s="243">
        <v>0</v>
      </c>
      <c r="I156" s="373">
        <f t="shared" si="35"/>
        <v>0</v>
      </c>
      <c r="J156" s="250" t="s">
        <v>139</v>
      </c>
      <c r="K156" s="508" t="s">
        <v>139</v>
      </c>
      <c r="L156" s="399" t="s">
        <v>139</v>
      </c>
      <c r="M156" s="403">
        <v>0</v>
      </c>
      <c r="N156" s="282" t="s">
        <v>139</v>
      </c>
      <c r="O156" s="302" t="str">
        <f>IF(OR(M156=0,N156="NA"),"NA",IFERROR(INDEX('Data - Reference'!$B$37:$B$50,MATCH('Unit Summary - Rent Roll'!$M156,INDEX('Data - Reference'!$B$37:$J$50,,MATCH('Unit Summary - Rent Roll'!$N156,'Data - Reference'!$B$37:$J$37,0)),-1),1),"NA"))</f>
        <v>NA</v>
      </c>
      <c r="P156" s="239" t="s">
        <v>85</v>
      </c>
      <c r="Q156" s="239" t="s">
        <v>85</v>
      </c>
      <c r="R156" s="188">
        <v>0</v>
      </c>
      <c r="S156" s="364">
        <f t="shared" si="36"/>
        <v>0</v>
      </c>
      <c r="T156" s="97">
        <f t="shared" si="37"/>
        <v>0</v>
      </c>
      <c r="U156" s="188">
        <v>0</v>
      </c>
      <c r="V156" s="364">
        <f t="shared" si="38"/>
        <v>0</v>
      </c>
      <c r="W156" s="97">
        <f t="shared" si="39"/>
        <v>0</v>
      </c>
      <c r="X156" s="71">
        <f>IFERROR(IF(INDEX(AC$14:AC$18,MATCH($E156,$AB$14:$AB$18,0))&lt;&gt;0,INDEX(AC$14:AC$18,MATCH($E156,$AB$14:$AB$18,0)),
IF($M156="Market",0,IF($L156="HUD FMR",INDEX('Data - Reference'!$B$31:$G$31,MATCH($E156,'Data - Reference'!$B$9:$G$9,0)),INDEX('Data - Reference'!$B$9:$G$31,MATCH($K156,'Data - Reference'!$B$9:$B$31,0),MATCH($E156,'Data - Reference'!$B$9:$G$9,0))))),0)</f>
        <v>0</v>
      </c>
      <c r="Y156" s="71">
        <f>IFERROR(IF(INDEX(AD$14:AD$18,MATCH($E156,$AB$14:$AB$18,0))&lt;&gt;0,INDEX(AD$14:AD$18,MATCH($E156,$AB$14:$AB$18,0)),
IF($K156="None - Market",0,-INDEX('Data - Reference'!$B$32:$G$32,MATCH($E156,'Data - Reference'!$B$9:$G$9,0)))),0)</f>
        <v>0</v>
      </c>
      <c r="Z156" s="74">
        <f t="shared" ref="Z156:Z219" si="48">ROUND(SUM(X156:Y156),0)</f>
        <v>0</v>
      </c>
      <c r="AA156" s="67">
        <f t="shared" si="40"/>
        <v>0</v>
      </c>
      <c r="AB156" s="97">
        <f t="shared" si="41"/>
        <v>0</v>
      </c>
      <c r="AC156" s="82">
        <f t="shared" si="5"/>
        <v>0</v>
      </c>
      <c r="AD156" s="83">
        <f t="shared" si="42"/>
        <v>0</v>
      </c>
      <c r="AE156" s="97">
        <f t="shared" si="43"/>
        <v>0</v>
      </c>
      <c r="AF156" s="415" t="str">
        <f t="shared" ref="AF156:AF219" si="49">IFERROR(IF(J156="Market","NA",IF(U156=0,"NA",IF(U156&gt;Z156,"N","Y"))),"NA")</f>
        <v>NA</v>
      </c>
      <c r="AG156" s="420" t="str">
        <f t="shared" si="44"/>
        <v>NA</v>
      </c>
      <c r="AH156" s="420" t="str">
        <f t="shared" si="45"/>
        <v>NA</v>
      </c>
      <c r="AI156" s="417" t="str">
        <f t="shared" si="46"/>
        <v>NA</v>
      </c>
      <c r="AJ156" s="417" t="str">
        <f t="shared" si="47"/>
        <v>NA</v>
      </c>
      <c r="AK156" s="524" t="str">
        <f>IFERROR(INDEX('Legacy Resident Reference'!R:R,MATCH('Unit Summary - Rent Roll'!AJ156,'Legacy Resident Reference'!P:P,0)),"NA")</f>
        <v>NA</v>
      </c>
    </row>
    <row r="157" spans="2:37" ht="13.8" hidden="1" outlineLevel="1" x14ac:dyDescent="0.3">
      <c r="B157" s="236">
        <v>131</v>
      </c>
      <c r="C157" s="580" t="s">
        <v>143</v>
      </c>
      <c r="D157" s="581"/>
      <c r="E157" s="186" t="s">
        <v>139</v>
      </c>
      <c r="F157" s="187">
        <v>0</v>
      </c>
      <c r="G157" s="239" t="s">
        <v>85</v>
      </c>
      <c r="H157" s="243">
        <v>0</v>
      </c>
      <c r="I157" s="373">
        <f t="shared" si="35"/>
        <v>0</v>
      </c>
      <c r="J157" s="250" t="s">
        <v>139</v>
      </c>
      <c r="K157" s="508" t="s">
        <v>139</v>
      </c>
      <c r="L157" s="399" t="s">
        <v>139</v>
      </c>
      <c r="M157" s="403">
        <v>0</v>
      </c>
      <c r="N157" s="282" t="s">
        <v>139</v>
      </c>
      <c r="O157" s="302" t="str">
        <f>IF(OR(M157=0,N157="NA"),"NA",IFERROR(INDEX('Data - Reference'!$B$37:$B$50,MATCH('Unit Summary - Rent Roll'!$M157,INDEX('Data - Reference'!$B$37:$J$50,,MATCH('Unit Summary - Rent Roll'!$N157,'Data - Reference'!$B$37:$J$37,0)),-1),1),"NA"))</f>
        <v>NA</v>
      </c>
      <c r="P157" s="239" t="s">
        <v>85</v>
      </c>
      <c r="Q157" s="239" t="s">
        <v>85</v>
      </c>
      <c r="R157" s="188">
        <v>0</v>
      </c>
      <c r="S157" s="364">
        <f t="shared" si="36"/>
        <v>0</v>
      </c>
      <c r="T157" s="97">
        <f t="shared" si="37"/>
        <v>0</v>
      </c>
      <c r="U157" s="188">
        <v>0</v>
      </c>
      <c r="V157" s="364">
        <f t="shared" si="38"/>
        <v>0</v>
      </c>
      <c r="W157" s="97">
        <f t="shared" si="39"/>
        <v>0</v>
      </c>
      <c r="X157" s="71">
        <f>IFERROR(IF(INDEX(AC$14:AC$18,MATCH($E157,$AB$14:$AB$18,0))&lt;&gt;0,INDEX(AC$14:AC$18,MATCH($E157,$AB$14:$AB$18,0)),
IF($M157="Market",0,IF($L157="HUD FMR",INDEX('Data - Reference'!$B$31:$G$31,MATCH($E157,'Data - Reference'!$B$9:$G$9,0)),INDEX('Data - Reference'!$B$9:$G$31,MATCH($K157,'Data - Reference'!$B$9:$B$31,0),MATCH($E157,'Data - Reference'!$B$9:$G$9,0))))),0)</f>
        <v>0</v>
      </c>
      <c r="Y157" s="71">
        <f>IFERROR(IF(INDEX(AD$14:AD$18,MATCH($E157,$AB$14:$AB$18,0))&lt;&gt;0,INDEX(AD$14:AD$18,MATCH($E157,$AB$14:$AB$18,0)),
IF($K157="None - Market",0,-INDEX('Data - Reference'!$B$32:$G$32,MATCH($E157,'Data - Reference'!$B$9:$G$9,0)))),0)</f>
        <v>0</v>
      </c>
      <c r="Z157" s="74">
        <f t="shared" si="48"/>
        <v>0</v>
      </c>
      <c r="AA157" s="67">
        <f t="shared" si="40"/>
        <v>0</v>
      </c>
      <c r="AB157" s="97">
        <f t="shared" si="41"/>
        <v>0</v>
      </c>
      <c r="AC157" s="82">
        <f t="shared" si="5"/>
        <v>0</v>
      </c>
      <c r="AD157" s="83">
        <f t="shared" si="42"/>
        <v>0</v>
      </c>
      <c r="AE157" s="97">
        <f t="shared" si="43"/>
        <v>0</v>
      </c>
      <c r="AF157" s="415" t="str">
        <f t="shared" si="49"/>
        <v>NA</v>
      </c>
      <c r="AG157" s="420" t="str">
        <f t="shared" si="44"/>
        <v>NA</v>
      </c>
      <c r="AH157" s="420" t="str">
        <f t="shared" si="45"/>
        <v>NA</v>
      </c>
      <c r="AI157" s="417" t="str">
        <f t="shared" si="46"/>
        <v>NA</v>
      </c>
      <c r="AJ157" s="417" t="str">
        <f t="shared" si="47"/>
        <v>NA</v>
      </c>
      <c r="AK157" s="524" t="str">
        <f>IFERROR(INDEX('Legacy Resident Reference'!R:R,MATCH('Unit Summary - Rent Roll'!AJ157,'Legacy Resident Reference'!P:P,0)),"NA")</f>
        <v>NA</v>
      </c>
    </row>
    <row r="158" spans="2:37" ht="13.8" hidden="1" outlineLevel="1" x14ac:dyDescent="0.3">
      <c r="B158" s="236">
        <v>132</v>
      </c>
      <c r="C158" s="580" t="s">
        <v>143</v>
      </c>
      <c r="D158" s="581"/>
      <c r="E158" s="186" t="s">
        <v>139</v>
      </c>
      <c r="F158" s="187">
        <v>0</v>
      </c>
      <c r="G158" s="239" t="s">
        <v>85</v>
      </c>
      <c r="H158" s="243">
        <v>0</v>
      </c>
      <c r="I158" s="373">
        <f t="shared" si="35"/>
        <v>0</v>
      </c>
      <c r="J158" s="250" t="s">
        <v>139</v>
      </c>
      <c r="K158" s="508" t="s">
        <v>139</v>
      </c>
      <c r="L158" s="399" t="s">
        <v>139</v>
      </c>
      <c r="M158" s="403">
        <v>0</v>
      </c>
      <c r="N158" s="282" t="s">
        <v>139</v>
      </c>
      <c r="O158" s="302" t="str">
        <f>IF(OR(M158=0,N158="NA"),"NA",IFERROR(INDEX('Data - Reference'!$B$37:$B$50,MATCH('Unit Summary - Rent Roll'!$M158,INDEX('Data - Reference'!$B$37:$J$50,,MATCH('Unit Summary - Rent Roll'!$N158,'Data - Reference'!$B$37:$J$37,0)),-1),1),"NA"))</f>
        <v>NA</v>
      </c>
      <c r="P158" s="239" t="s">
        <v>85</v>
      </c>
      <c r="Q158" s="239" t="s">
        <v>85</v>
      </c>
      <c r="R158" s="188">
        <v>0</v>
      </c>
      <c r="S158" s="364">
        <f t="shared" si="36"/>
        <v>0</v>
      </c>
      <c r="T158" s="97">
        <f t="shared" si="37"/>
        <v>0</v>
      </c>
      <c r="U158" s="188">
        <v>0</v>
      </c>
      <c r="V158" s="364">
        <f t="shared" si="38"/>
        <v>0</v>
      </c>
      <c r="W158" s="97">
        <f t="shared" si="39"/>
        <v>0</v>
      </c>
      <c r="X158" s="71">
        <f>IFERROR(IF(INDEX(AC$14:AC$18,MATCH($E158,$AB$14:$AB$18,0))&lt;&gt;0,INDEX(AC$14:AC$18,MATCH($E158,$AB$14:$AB$18,0)),
IF($M158="Market",0,IF($L158="HUD FMR",INDEX('Data - Reference'!$B$31:$G$31,MATCH($E158,'Data - Reference'!$B$9:$G$9,0)),INDEX('Data - Reference'!$B$9:$G$31,MATCH($K158,'Data - Reference'!$B$9:$B$31,0),MATCH($E158,'Data - Reference'!$B$9:$G$9,0))))),0)</f>
        <v>0</v>
      </c>
      <c r="Y158" s="71">
        <f>IFERROR(IF(INDEX(AD$14:AD$18,MATCH($E158,$AB$14:$AB$18,0))&lt;&gt;0,INDEX(AD$14:AD$18,MATCH($E158,$AB$14:$AB$18,0)),
IF($K158="None - Market",0,-INDEX('Data - Reference'!$B$32:$G$32,MATCH($E158,'Data - Reference'!$B$9:$G$9,0)))),0)</f>
        <v>0</v>
      </c>
      <c r="Z158" s="74">
        <f t="shared" si="48"/>
        <v>0</v>
      </c>
      <c r="AA158" s="67">
        <f t="shared" si="40"/>
        <v>0</v>
      </c>
      <c r="AB158" s="97">
        <f t="shared" si="41"/>
        <v>0</v>
      </c>
      <c r="AC158" s="82">
        <f t="shared" si="5"/>
        <v>0</v>
      </c>
      <c r="AD158" s="83">
        <f t="shared" si="42"/>
        <v>0</v>
      </c>
      <c r="AE158" s="97">
        <f t="shared" si="43"/>
        <v>0</v>
      </c>
      <c r="AF158" s="415" t="str">
        <f t="shared" si="49"/>
        <v>NA</v>
      </c>
      <c r="AG158" s="420" t="str">
        <f t="shared" si="44"/>
        <v>NA</v>
      </c>
      <c r="AH158" s="420" t="str">
        <f t="shared" si="45"/>
        <v>NA</v>
      </c>
      <c r="AI158" s="417" t="str">
        <f t="shared" si="46"/>
        <v>NA</v>
      </c>
      <c r="AJ158" s="417" t="str">
        <f t="shared" si="47"/>
        <v>NA</v>
      </c>
      <c r="AK158" s="524" t="str">
        <f>IFERROR(INDEX('Legacy Resident Reference'!R:R,MATCH('Unit Summary - Rent Roll'!AJ158,'Legacy Resident Reference'!P:P,0)),"NA")</f>
        <v>NA</v>
      </c>
    </row>
    <row r="159" spans="2:37" ht="13.8" hidden="1" outlineLevel="1" x14ac:dyDescent="0.3">
      <c r="B159" s="236">
        <v>133</v>
      </c>
      <c r="C159" s="580" t="s">
        <v>143</v>
      </c>
      <c r="D159" s="581"/>
      <c r="E159" s="186" t="s">
        <v>139</v>
      </c>
      <c r="F159" s="187">
        <v>0</v>
      </c>
      <c r="G159" s="239" t="s">
        <v>85</v>
      </c>
      <c r="H159" s="243">
        <v>0</v>
      </c>
      <c r="I159" s="373">
        <f t="shared" si="35"/>
        <v>0</v>
      </c>
      <c r="J159" s="250" t="s">
        <v>139</v>
      </c>
      <c r="K159" s="508" t="s">
        <v>139</v>
      </c>
      <c r="L159" s="399" t="s">
        <v>139</v>
      </c>
      <c r="M159" s="403">
        <v>0</v>
      </c>
      <c r="N159" s="282" t="s">
        <v>139</v>
      </c>
      <c r="O159" s="302" t="str">
        <f>IF(OR(M159=0,N159="NA"),"NA",IFERROR(INDEX('Data - Reference'!$B$37:$B$50,MATCH('Unit Summary - Rent Roll'!$M159,INDEX('Data - Reference'!$B$37:$J$50,,MATCH('Unit Summary - Rent Roll'!$N159,'Data - Reference'!$B$37:$J$37,0)),-1),1),"NA"))</f>
        <v>NA</v>
      </c>
      <c r="P159" s="239" t="s">
        <v>85</v>
      </c>
      <c r="Q159" s="239" t="s">
        <v>85</v>
      </c>
      <c r="R159" s="188">
        <v>0</v>
      </c>
      <c r="S159" s="364">
        <f t="shared" si="36"/>
        <v>0</v>
      </c>
      <c r="T159" s="97">
        <f t="shared" si="37"/>
        <v>0</v>
      </c>
      <c r="U159" s="188">
        <v>0</v>
      </c>
      <c r="V159" s="364">
        <f t="shared" si="38"/>
        <v>0</v>
      </c>
      <c r="W159" s="97">
        <f t="shared" si="39"/>
        <v>0</v>
      </c>
      <c r="X159" s="71">
        <f>IFERROR(IF(INDEX(AC$14:AC$18,MATCH($E159,$AB$14:$AB$18,0))&lt;&gt;0,INDEX(AC$14:AC$18,MATCH($E159,$AB$14:$AB$18,0)),
IF($M159="Market",0,IF($L159="HUD FMR",INDEX('Data - Reference'!$B$31:$G$31,MATCH($E159,'Data - Reference'!$B$9:$G$9,0)),INDEX('Data - Reference'!$B$9:$G$31,MATCH($K159,'Data - Reference'!$B$9:$B$31,0),MATCH($E159,'Data - Reference'!$B$9:$G$9,0))))),0)</f>
        <v>0</v>
      </c>
      <c r="Y159" s="71">
        <f>IFERROR(IF(INDEX(AD$14:AD$18,MATCH($E159,$AB$14:$AB$18,0))&lt;&gt;0,INDEX(AD$14:AD$18,MATCH($E159,$AB$14:$AB$18,0)),
IF($K159="None - Market",0,-INDEX('Data - Reference'!$B$32:$G$32,MATCH($E159,'Data - Reference'!$B$9:$G$9,0)))),0)</f>
        <v>0</v>
      </c>
      <c r="Z159" s="74">
        <f t="shared" si="48"/>
        <v>0</v>
      </c>
      <c r="AA159" s="67">
        <f t="shared" si="40"/>
        <v>0</v>
      </c>
      <c r="AB159" s="97">
        <f t="shared" si="41"/>
        <v>0</v>
      </c>
      <c r="AC159" s="82">
        <f t="shared" si="5"/>
        <v>0</v>
      </c>
      <c r="AD159" s="83">
        <f t="shared" si="42"/>
        <v>0</v>
      </c>
      <c r="AE159" s="97">
        <f t="shared" si="43"/>
        <v>0</v>
      </c>
      <c r="AF159" s="415" t="str">
        <f t="shared" si="49"/>
        <v>NA</v>
      </c>
      <c r="AG159" s="420" t="str">
        <f t="shared" si="44"/>
        <v>NA</v>
      </c>
      <c r="AH159" s="420" t="str">
        <f t="shared" si="45"/>
        <v>NA</v>
      </c>
      <c r="AI159" s="417" t="str">
        <f t="shared" si="46"/>
        <v>NA</v>
      </c>
      <c r="AJ159" s="417" t="str">
        <f t="shared" si="47"/>
        <v>NA</v>
      </c>
      <c r="AK159" s="524" t="str">
        <f>IFERROR(INDEX('Legacy Resident Reference'!R:R,MATCH('Unit Summary - Rent Roll'!AJ159,'Legacy Resident Reference'!P:P,0)),"NA")</f>
        <v>NA</v>
      </c>
    </row>
    <row r="160" spans="2:37" ht="13.8" hidden="1" outlineLevel="1" x14ac:dyDescent="0.3">
      <c r="B160" s="236">
        <v>134</v>
      </c>
      <c r="C160" s="580" t="s">
        <v>143</v>
      </c>
      <c r="D160" s="581"/>
      <c r="E160" s="186" t="s">
        <v>139</v>
      </c>
      <c r="F160" s="187">
        <v>0</v>
      </c>
      <c r="G160" s="239" t="s">
        <v>85</v>
      </c>
      <c r="H160" s="243">
        <v>0</v>
      </c>
      <c r="I160" s="373">
        <f t="shared" si="35"/>
        <v>0</v>
      </c>
      <c r="J160" s="250" t="s">
        <v>139</v>
      </c>
      <c r="K160" s="508" t="s">
        <v>139</v>
      </c>
      <c r="L160" s="399" t="s">
        <v>139</v>
      </c>
      <c r="M160" s="403">
        <v>0</v>
      </c>
      <c r="N160" s="282" t="s">
        <v>139</v>
      </c>
      <c r="O160" s="302" t="str">
        <f>IF(OR(M160=0,N160="NA"),"NA",IFERROR(INDEX('Data - Reference'!$B$37:$B$50,MATCH('Unit Summary - Rent Roll'!$M160,INDEX('Data - Reference'!$B$37:$J$50,,MATCH('Unit Summary - Rent Roll'!$N160,'Data - Reference'!$B$37:$J$37,0)),-1),1),"NA"))</f>
        <v>NA</v>
      </c>
      <c r="P160" s="239" t="s">
        <v>85</v>
      </c>
      <c r="Q160" s="239" t="s">
        <v>85</v>
      </c>
      <c r="R160" s="188">
        <v>0</v>
      </c>
      <c r="S160" s="364">
        <f t="shared" si="36"/>
        <v>0</v>
      </c>
      <c r="T160" s="97">
        <f t="shared" si="37"/>
        <v>0</v>
      </c>
      <c r="U160" s="188">
        <v>0</v>
      </c>
      <c r="V160" s="364">
        <f t="shared" si="38"/>
        <v>0</v>
      </c>
      <c r="W160" s="97">
        <f t="shared" si="39"/>
        <v>0</v>
      </c>
      <c r="X160" s="71">
        <f>IFERROR(IF(INDEX(AC$14:AC$18,MATCH($E160,$AB$14:$AB$18,0))&lt;&gt;0,INDEX(AC$14:AC$18,MATCH($E160,$AB$14:$AB$18,0)),
IF($M160="Market",0,IF($L160="HUD FMR",INDEX('Data - Reference'!$B$31:$G$31,MATCH($E160,'Data - Reference'!$B$9:$G$9,0)),INDEX('Data - Reference'!$B$9:$G$31,MATCH($K160,'Data - Reference'!$B$9:$B$31,0),MATCH($E160,'Data - Reference'!$B$9:$G$9,0))))),0)</f>
        <v>0</v>
      </c>
      <c r="Y160" s="71">
        <f>IFERROR(IF(INDEX(AD$14:AD$18,MATCH($E160,$AB$14:$AB$18,0))&lt;&gt;0,INDEX(AD$14:AD$18,MATCH($E160,$AB$14:$AB$18,0)),
IF($K160="None - Market",0,-INDEX('Data - Reference'!$B$32:$G$32,MATCH($E160,'Data - Reference'!$B$9:$G$9,0)))),0)</f>
        <v>0</v>
      </c>
      <c r="Z160" s="74">
        <f t="shared" si="48"/>
        <v>0</v>
      </c>
      <c r="AA160" s="67">
        <f t="shared" si="40"/>
        <v>0</v>
      </c>
      <c r="AB160" s="97">
        <f t="shared" si="41"/>
        <v>0</v>
      </c>
      <c r="AC160" s="82">
        <f t="shared" si="5"/>
        <v>0</v>
      </c>
      <c r="AD160" s="83">
        <f t="shared" si="42"/>
        <v>0</v>
      </c>
      <c r="AE160" s="97">
        <f t="shared" si="43"/>
        <v>0</v>
      </c>
      <c r="AF160" s="415" t="str">
        <f t="shared" si="49"/>
        <v>NA</v>
      </c>
      <c r="AG160" s="420" t="str">
        <f t="shared" si="44"/>
        <v>NA</v>
      </c>
      <c r="AH160" s="420" t="str">
        <f t="shared" si="45"/>
        <v>NA</v>
      </c>
      <c r="AI160" s="417" t="str">
        <f t="shared" si="46"/>
        <v>NA</v>
      </c>
      <c r="AJ160" s="417" t="str">
        <f t="shared" si="47"/>
        <v>NA</v>
      </c>
      <c r="AK160" s="524" t="str">
        <f>IFERROR(INDEX('Legacy Resident Reference'!R:R,MATCH('Unit Summary - Rent Roll'!AJ160,'Legacy Resident Reference'!P:P,0)),"NA")</f>
        <v>NA</v>
      </c>
    </row>
    <row r="161" spans="2:37" ht="13.8" hidden="1" outlineLevel="1" x14ac:dyDescent="0.3">
      <c r="B161" s="236">
        <v>135</v>
      </c>
      <c r="C161" s="580" t="s">
        <v>143</v>
      </c>
      <c r="D161" s="581"/>
      <c r="E161" s="186" t="s">
        <v>139</v>
      </c>
      <c r="F161" s="187">
        <v>0</v>
      </c>
      <c r="G161" s="239" t="s">
        <v>85</v>
      </c>
      <c r="H161" s="243">
        <v>0</v>
      </c>
      <c r="I161" s="373">
        <f t="shared" si="35"/>
        <v>0</v>
      </c>
      <c r="J161" s="250" t="s">
        <v>139</v>
      </c>
      <c r="K161" s="508" t="s">
        <v>139</v>
      </c>
      <c r="L161" s="399" t="s">
        <v>139</v>
      </c>
      <c r="M161" s="403">
        <v>0</v>
      </c>
      <c r="N161" s="282" t="s">
        <v>139</v>
      </c>
      <c r="O161" s="302" t="str">
        <f>IF(OR(M161=0,N161="NA"),"NA",IFERROR(INDEX('Data - Reference'!$B$37:$B$50,MATCH('Unit Summary - Rent Roll'!$M161,INDEX('Data - Reference'!$B$37:$J$50,,MATCH('Unit Summary - Rent Roll'!$N161,'Data - Reference'!$B$37:$J$37,0)),-1),1),"NA"))</f>
        <v>NA</v>
      </c>
      <c r="P161" s="239" t="s">
        <v>85</v>
      </c>
      <c r="Q161" s="239" t="s">
        <v>85</v>
      </c>
      <c r="R161" s="188">
        <v>0</v>
      </c>
      <c r="S161" s="364">
        <f t="shared" si="36"/>
        <v>0</v>
      </c>
      <c r="T161" s="97">
        <f t="shared" si="37"/>
        <v>0</v>
      </c>
      <c r="U161" s="188">
        <v>0</v>
      </c>
      <c r="V161" s="364">
        <f t="shared" si="38"/>
        <v>0</v>
      </c>
      <c r="W161" s="97">
        <f t="shared" si="39"/>
        <v>0</v>
      </c>
      <c r="X161" s="71">
        <f>IFERROR(IF(INDEX(AC$14:AC$18,MATCH($E161,$AB$14:$AB$18,0))&lt;&gt;0,INDEX(AC$14:AC$18,MATCH($E161,$AB$14:$AB$18,0)),
IF($M161="Market",0,IF($L161="HUD FMR",INDEX('Data - Reference'!$B$31:$G$31,MATCH($E161,'Data - Reference'!$B$9:$G$9,0)),INDEX('Data - Reference'!$B$9:$G$31,MATCH($K161,'Data - Reference'!$B$9:$B$31,0),MATCH($E161,'Data - Reference'!$B$9:$G$9,0))))),0)</f>
        <v>0</v>
      </c>
      <c r="Y161" s="71">
        <f>IFERROR(IF(INDEX(AD$14:AD$18,MATCH($E161,$AB$14:$AB$18,0))&lt;&gt;0,INDEX(AD$14:AD$18,MATCH($E161,$AB$14:$AB$18,0)),
IF($K161="None - Market",0,-INDEX('Data - Reference'!$B$32:$G$32,MATCH($E161,'Data - Reference'!$B$9:$G$9,0)))),0)</f>
        <v>0</v>
      </c>
      <c r="Z161" s="74">
        <f t="shared" si="48"/>
        <v>0</v>
      </c>
      <c r="AA161" s="67">
        <f t="shared" si="40"/>
        <v>0</v>
      </c>
      <c r="AB161" s="97">
        <f t="shared" si="41"/>
        <v>0</v>
      </c>
      <c r="AC161" s="82">
        <f t="shared" si="5"/>
        <v>0</v>
      </c>
      <c r="AD161" s="83">
        <f t="shared" si="42"/>
        <v>0</v>
      </c>
      <c r="AE161" s="97">
        <f t="shared" si="43"/>
        <v>0</v>
      </c>
      <c r="AF161" s="415" t="str">
        <f t="shared" si="49"/>
        <v>NA</v>
      </c>
      <c r="AG161" s="420" t="str">
        <f t="shared" si="44"/>
        <v>NA</v>
      </c>
      <c r="AH161" s="420" t="str">
        <f t="shared" si="45"/>
        <v>NA</v>
      </c>
      <c r="AI161" s="417" t="str">
        <f t="shared" si="46"/>
        <v>NA</v>
      </c>
      <c r="AJ161" s="417" t="str">
        <f t="shared" si="47"/>
        <v>NA</v>
      </c>
      <c r="AK161" s="524" t="str">
        <f>IFERROR(INDEX('Legacy Resident Reference'!R:R,MATCH('Unit Summary - Rent Roll'!AJ161,'Legacy Resident Reference'!P:P,0)),"NA")</f>
        <v>NA</v>
      </c>
    </row>
    <row r="162" spans="2:37" ht="13.8" hidden="1" outlineLevel="1" x14ac:dyDescent="0.3">
      <c r="B162" s="236">
        <v>136</v>
      </c>
      <c r="C162" s="580" t="s">
        <v>143</v>
      </c>
      <c r="D162" s="581"/>
      <c r="E162" s="186" t="s">
        <v>139</v>
      </c>
      <c r="F162" s="187">
        <v>0</v>
      </c>
      <c r="G162" s="239" t="s">
        <v>85</v>
      </c>
      <c r="H162" s="243">
        <v>0</v>
      </c>
      <c r="I162" s="373">
        <f t="shared" si="35"/>
        <v>0</v>
      </c>
      <c r="J162" s="250" t="s">
        <v>139</v>
      </c>
      <c r="K162" s="508" t="s">
        <v>139</v>
      </c>
      <c r="L162" s="399" t="s">
        <v>139</v>
      </c>
      <c r="M162" s="403">
        <v>0</v>
      </c>
      <c r="N162" s="282" t="s">
        <v>139</v>
      </c>
      <c r="O162" s="302" t="str">
        <f>IF(OR(M162=0,N162="NA"),"NA",IFERROR(INDEX('Data - Reference'!$B$37:$B$50,MATCH('Unit Summary - Rent Roll'!$M162,INDEX('Data - Reference'!$B$37:$J$50,,MATCH('Unit Summary - Rent Roll'!$N162,'Data - Reference'!$B$37:$J$37,0)),-1),1),"NA"))</f>
        <v>NA</v>
      </c>
      <c r="P162" s="239" t="s">
        <v>85</v>
      </c>
      <c r="Q162" s="239" t="s">
        <v>85</v>
      </c>
      <c r="R162" s="188">
        <v>0</v>
      </c>
      <c r="S162" s="364">
        <f t="shared" si="36"/>
        <v>0</v>
      </c>
      <c r="T162" s="97">
        <f t="shared" si="37"/>
        <v>0</v>
      </c>
      <c r="U162" s="188">
        <v>0</v>
      </c>
      <c r="V162" s="364">
        <f t="shared" si="38"/>
        <v>0</v>
      </c>
      <c r="W162" s="97">
        <f t="shared" si="39"/>
        <v>0</v>
      </c>
      <c r="X162" s="71">
        <f>IFERROR(IF(INDEX(AC$14:AC$18,MATCH($E162,$AB$14:$AB$18,0))&lt;&gt;0,INDEX(AC$14:AC$18,MATCH($E162,$AB$14:$AB$18,0)),
IF($M162="Market",0,IF($L162="HUD FMR",INDEX('Data - Reference'!$B$31:$G$31,MATCH($E162,'Data - Reference'!$B$9:$G$9,0)),INDEX('Data - Reference'!$B$9:$G$31,MATCH($K162,'Data - Reference'!$B$9:$B$31,0),MATCH($E162,'Data - Reference'!$B$9:$G$9,0))))),0)</f>
        <v>0</v>
      </c>
      <c r="Y162" s="71">
        <f>IFERROR(IF(INDEX(AD$14:AD$18,MATCH($E162,$AB$14:$AB$18,0))&lt;&gt;0,INDEX(AD$14:AD$18,MATCH($E162,$AB$14:$AB$18,0)),
IF($K162="None - Market",0,-INDEX('Data - Reference'!$B$32:$G$32,MATCH($E162,'Data - Reference'!$B$9:$G$9,0)))),0)</f>
        <v>0</v>
      </c>
      <c r="Z162" s="74">
        <f t="shared" si="48"/>
        <v>0</v>
      </c>
      <c r="AA162" s="67">
        <f t="shared" si="40"/>
        <v>0</v>
      </c>
      <c r="AB162" s="97">
        <f t="shared" si="41"/>
        <v>0</v>
      </c>
      <c r="AC162" s="82">
        <f t="shared" si="5"/>
        <v>0</v>
      </c>
      <c r="AD162" s="83">
        <f t="shared" si="42"/>
        <v>0</v>
      </c>
      <c r="AE162" s="97">
        <f t="shared" si="43"/>
        <v>0</v>
      </c>
      <c r="AF162" s="415" t="str">
        <f t="shared" si="49"/>
        <v>NA</v>
      </c>
      <c r="AG162" s="420" t="str">
        <f t="shared" si="44"/>
        <v>NA</v>
      </c>
      <c r="AH162" s="420" t="str">
        <f t="shared" si="45"/>
        <v>NA</v>
      </c>
      <c r="AI162" s="417" t="str">
        <f t="shared" si="46"/>
        <v>NA</v>
      </c>
      <c r="AJ162" s="417" t="str">
        <f t="shared" si="47"/>
        <v>NA</v>
      </c>
      <c r="AK162" s="524" t="str">
        <f>IFERROR(INDEX('Legacy Resident Reference'!R:R,MATCH('Unit Summary - Rent Roll'!AJ162,'Legacy Resident Reference'!P:P,0)),"NA")</f>
        <v>NA</v>
      </c>
    </row>
    <row r="163" spans="2:37" ht="13.8" hidden="1" outlineLevel="1" x14ac:dyDescent="0.3">
      <c r="B163" s="236">
        <v>137</v>
      </c>
      <c r="C163" s="580" t="s">
        <v>143</v>
      </c>
      <c r="D163" s="581"/>
      <c r="E163" s="186" t="s">
        <v>139</v>
      </c>
      <c r="F163" s="187">
        <v>0</v>
      </c>
      <c r="G163" s="239" t="s">
        <v>85</v>
      </c>
      <c r="H163" s="243">
        <v>0</v>
      </c>
      <c r="I163" s="373">
        <f t="shared" si="35"/>
        <v>0</v>
      </c>
      <c r="J163" s="250" t="s">
        <v>139</v>
      </c>
      <c r="K163" s="508" t="s">
        <v>139</v>
      </c>
      <c r="L163" s="399" t="s">
        <v>139</v>
      </c>
      <c r="M163" s="403">
        <v>0</v>
      </c>
      <c r="N163" s="282" t="s">
        <v>139</v>
      </c>
      <c r="O163" s="302" t="str">
        <f>IF(OR(M163=0,N163="NA"),"NA",IFERROR(INDEX('Data - Reference'!$B$37:$B$50,MATCH('Unit Summary - Rent Roll'!$M163,INDEX('Data - Reference'!$B$37:$J$50,,MATCH('Unit Summary - Rent Roll'!$N163,'Data - Reference'!$B$37:$J$37,0)),-1),1),"NA"))</f>
        <v>NA</v>
      </c>
      <c r="P163" s="239" t="s">
        <v>85</v>
      </c>
      <c r="Q163" s="239" t="s">
        <v>85</v>
      </c>
      <c r="R163" s="188">
        <v>0</v>
      </c>
      <c r="S163" s="364">
        <f t="shared" si="36"/>
        <v>0</v>
      </c>
      <c r="T163" s="97">
        <f t="shared" si="37"/>
        <v>0</v>
      </c>
      <c r="U163" s="188">
        <v>0</v>
      </c>
      <c r="V163" s="364">
        <f t="shared" si="38"/>
        <v>0</v>
      </c>
      <c r="W163" s="97">
        <f t="shared" si="39"/>
        <v>0</v>
      </c>
      <c r="X163" s="71">
        <f>IFERROR(IF(INDEX(AC$14:AC$18,MATCH($E163,$AB$14:$AB$18,0))&lt;&gt;0,INDEX(AC$14:AC$18,MATCH($E163,$AB$14:$AB$18,0)),
IF($M163="Market",0,IF($L163="HUD FMR",INDEX('Data - Reference'!$B$31:$G$31,MATCH($E163,'Data - Reference'!$B$9:$G$9,0)),INDEX('Data - Reference'!$B$9:$G$31,MATCH($K163,'Data - Reference'!$B$9:$B$31,0),MATCH($E163,'Data - Reference'!$B$9:$G$9,0))))),0)</f>
        <v>0</v>
      </c>
      <c r="Y163" s="71">
        <f>IFERROR(IF(INDEX(AD$14:AD$18,MATCH($E163,$AB$14:$AB$18,0))&lt;&gt;0,INDEX(AD$14:AD$18,MATCH($E163,$AB$14:$AB$18,0)),
IF($K163="None - Market",0,-INDEX('Data - Reference'!$B$32:$G$32,MATCH($E163,'Data - Reference'!$B$9:$G$9,0)))),0)</f>
        <v>0</v>
      </c>
      <c r="Z163" s="74">
        <f t="shared" si="48"/>
        <v>0</v>
      </c>
      <c r="AA163" s="67">
        <f t="shared" si="40"/>
        <v>0</v>
      </c>
      <c r="AB163" s="97">
        <f t="shared" si="41"/>
        <v>0</v>
      </c>
      <c r="AC163" s="82">
        <f t="shared" si="5"/>
        <v>0</v>
      </c>
      <c r="AD163" s="83">
        <f t="shared" si="42"/>
        <v>0</v>
      </c>
      <c r="AE163" s="97">
        <f t="shared" si="43"/>
        <v>0</v>
      </c>
      <c r="AF163" s="415" t="str">
        <f t="shared" si="49"/>
        <v>NA</v>
      </c>
      <c r="AG163" s="420" t="str">
        <f t="shared" si="44"/>
        <v>NA</v>
      </c>
      <c r="AH163" s="420" t="str">
        <f t="shared" si="45"/>
        <v>NA</v>
      </c>
      <c r="AI163" s="417" t="str">
        <f t="shared" si="46"/>
        <v>NA</v>
      </c>
      <c r="AJ163" s="417" t="str">
        <f t="shared" si="47"/>
        <v>NA</v>
      </c>
      <c r="AK163" s="524" t="str">
        <f>IFERROR(INDEX('Legacy Resident Reference'!R:R,MATCH('Unit Summary - Rent Roll'!AJ163,'Legacy Resident Reference'!P:P,0)),"NA")</f>
        <v>NA</v>
      </c>
    </row>
    <row r="164" spans="2:37" ht="13.8" hidden="1" outlineLevel="1" x14ac:dyDescent="0.3">
      <c r="B164" s="236">
        <v>138</v>
      </c>
      <c r="C164" s="580" t="s">
        <v>143</v>
      </c>
      <c r="D164" s="581"/>
      <c r="E164" s="186" t="s">
        <v>139</v>
      </c>
      <c r="F164" s="187">
        <v>0</v>
      </c>
      <c r="G164" s="239" t="s">
        <v>85</v>
      </c>
      <c r="H164" s="243">
        <v>0</v>
      </c>
      <c r="I164" s="373">
        <f t="shared" si="35"/>
        <v>0</v>
      </c>
      <c r="J164" s="250" t="s">
        <v>139</v>
      </c>
      <c r="K164" s="508" t="s">
        <v>139</v>
      </c>
      <c r="L164" s="399" t="s">
        <v>139</v>
      </c>
      <c r="M164" s="403">
        <v>0</v>
      </c>
      <c r="N164" s="282" t="s">
        <v>139</v>
      </c>
      <c r="O164" s="302" t="str">
        <f>IF(OR(M164=0,N164="NA"),"NA",IFERROR(INDEX('Data - Reference'!$B$37:$B$50,MATCH('Unit Summary - Rent Roll'!$M164,INDEX('Data - Reference'!$B$37:$J$50,,MATCH('Unit Summary - Rent Roll'!$N164,'Data - Reference'!$B$37:$J$37,0)),-1),1),"NA"))</f>
        <v>NA</v>
      </c>
      <c r="P164" s="239" t="s">
        <v>85</v>
      </c>
      <c r="Q164" s="239" t="s">
        <v>85</v>
      </c>
      <c r="R164" s="188">
        <v>0</v>
      </c>
      <c r="S164" s="364">
        <f t="shared" si="36"/>
        <v>0</v>
      </c>
      <c r="T164" s="97">
        <f t="shared" si="37"/>
        <v>0</v>
      </c>
      <c r="U164" s="188">
        <v>0</v>
      </c>
      <c r="V164" s="364">
        <f t="shared" si="38"/>
        <v>0</v>
      </c>
      <c r="W164" s="97">
        <f t="shared" si="39"/>
        <v>0</v>
      </c>
      <c r="X164" s="71">
        <f>IFERROR(IF(INDEX(AC$14:AC$18,MATCH($E164,$AB$14:$AB$18,0))&lt;&gt;0,INDEX(AC$14:AC$18,MATCH($E164,$AB$14:$AB$18,0)),
IF($M164="Market",0,IF($L164="HUD FMR",INDEX('Data - Reference'!$B$31:$G$31,MATCH($E164,'Data - Reference'!$B$9:$G$9,0)),INDEX('Data - Reference'!$B$9:$G$31,MATCH($K164,'Data - Reference'!$B$9:$B$31,0),MATCH($E164,'Data - Reference'!$B$9:$G$9,0))))),0)</f>
        <v>0</v>
      </c>
      <c r="Y164" s="71">
        <f>IFERROR(IF(INDEX(AD$14:AD$18,MATCH($E164,$AB$14:$AB$18,0))&lt;&gt;0,INDEX(AD$14:AD$18,MATCH($E164,$AB$14:$AB$18,0)),
IF($K164="None - Market",0,-INDEX('Data - Reference'!$B$32:$G$32,MATCH($E164,'Data - Reference'!$B$9:$G$9,0)))),0)</f>
        <v>0</v>
      </c>
      <c r="Z164" s="74">
        <f t="shared" si="48"/>
        <v>0</v>
      </c>
      <c r="AA164" s="67">
        <f t="shared" si="40"/>
        <v>0</v>
      </c>
      <c r="AB164" s="97">
        <f t="shared" si="41"/>
        <v>0</v>
      </c>
      <c r="AC164" s="82">
        <f t="shared" si="5"/>
        <v>0</v>
      </c>
      <c r="AD164" s="83">
        <f t="shared" si="42"/>
        <v>0</v>
      </c>
      <c r="AE164" s="97">
        <f t="shared" si="43"/>
        <v>0</v>
      </c>
      <c r="AF164" s="415" t="str">
        <f t="shared" si="49"/>
        <v>NA</v>
      </c>
      <c r="AG164" s="420" t="str">
        <f t="shared" si="44"/>
        <v>NA</v>
      </c>
      <c r="AH164" s="420" t="str">
        <f t="shared" si="45"/>
        <v>NA</v>
      </c>
      <c r="AI164" s="417" t="str">
        <f t="shared" si="46"/>
        <v>NA</v>
      </c>
      <c r="AJ164" s="417" t="str">
        <f t="shared" si="47"/>
        <v>NA</v>
      </c>
      <c r="AK164" s="524" t="str">
        <f>IFERROR(INDEX('Legacy Resident Reference'!R:R,MATCH('Unit Summary - Rent Roll'!AJ164,'Legacy Resident Reference'!P:P,0)),"NA")</f>
        <v>NA</v>
      </c>
    </row>
    <row r="165" spans="2:37" ht="13.8" hidden="1" outlineLevel="1" x14ac:dyDescent="0.3">
      <c r="B165" s="236">
        <v>139</v>
      </c>
      <c r="C165" s="580" t="s">
        <v>143</v>
      </c>
      <c r="D165" s="581"/>
      <c r="E165" s="186" t="s">
        <v>139</v>
      </c>
      <c r="F165" s="187">
        <v>0</v>
      </c>
      <c r="G165" s="239" t="s">
        <v>85</v>
      </c>
      <c r="H165" s="243">
        <v>0</v>
      </c>
      <c r="I165" s="373">
        <f t="shared" si="35"/>
        <v>0</v>
      </c>
      <c r="J165" s="250" t="s">
        <v>139</v>
      </c>
      <c r="K165" s="508" t="s">
        <v>139</v>
      </c>
      <c r="L165" s="399" t="s">
        <v>139</v>
      </c>
      <c r="M165" s="403">
        <v>0</v>
      </c>
      <c r="N165" s="282" t="s">
        <v>139</v>
      </c>
      <c r="O165" s="302" t="str">
        <f>IF(OR(M165=0,N165="NA"),"NA",IFERROR(INDEX('Data - Reference'!$B$37:$B$50,MATCH('Unit Summary - Rent Roll'!$M165,INDEX('Data - Reference'!$B$37:$J$50,,MATCH('Unit Summary - Rent Roll'!$N165,'Data - Reference'!$B$37:$J$37,0)),-1),1),"NA"))</f>
        <v>NA</v>
      </c>
      <c r="P165" s="239" t="s">
        <v>85</v>
      </c>
      <c r="Q165" s="239" t="s">
        <v>85</v>
      </c>
      <c r="R165" s="188">
        <v>0</v>
      </c>
      <c r="S165" s="364">
        <f t="shared" si="36"/>
        <v>0</v>
      </c>
      <c r="T165" s="97">
        <f t="shared" si="37"/>
        <v>0</v>
      </c>
      <c r="U165" s="188">
        <v>0</v>
      </c>
      <c r="V165" s="364">
        <f t="shared" si="38"/>
        <v>0</v>
      </c>
      <c r="W165" s="97">
        <f t="shared" si="39"/>
        <v>0</v>
      </c>
      <c r="X165" s="71">
        <f>IFERROR(IF(INDEX(AC$14:AC$18,MATCH($E165,$AB$14:$AB$18,0))&lt;&gt;0,INDEX(AC$14:AC$18,MATCH($E165,$AB$14:$AB$18,0)),
IF($M165="Market",0,IF($L165="HUD FMR",INDEX('Data - Reference'!$B$31:$G$31,MATCH($E165,'Data - Reference'!$B$9:$G$9,0)),INDEX('Data - Reference'!$B$9:$G$31,MATCH($K165,'Data - Reference'!$B$9:$B$31,0),MATCH($E165,'Data - Reference'!$B$9:$G$9,0))))),0)</f>
        <v>0</v>
      </c>
      <c r="Y165" s="71">
        <f>IFERROR(IF(INDEX(AD$14:AD$18,MATCH($E165,$AB$14:$AB$18,0))&lt;&gt;0,INDEX(AD$14:AD$18,MATCH($E165,$AB$14:$AB$18,0)),
IF($K165="None - Market",0,-INDEX('Data - Reference'!$B$32:$G$32,MATCH($E165,'Data - Reference'!$B$9:$G$9,0)))),0)</f>
        <v>0</v>
      </c>
      <c r="Z165" s="74">
        <f t="shared" si="48"/>
        <v>0</v>
      </c>
      <c r="AA165" s="67">
        <f t="shared" si="40"/>
        <v>0</v>
      </c>
      <c r="AB165" s="97">
        <f t="shared" si="41"/>
        <v>0</v>
      </c>
      <c r="AC165" s="82">
        <f t="shared" si="5"/>
        <v>0</v>
      </c>
      <c r="AD165" s="83">
        <f t="shared" si="42"/>
        <v>0</v>
      </c>
      <c r="AE165" s="97">
        <f t="shared" si="43"/>
        <v>0</v>
      </c>
      <c r="AF165" s="415" t="str">
        <f t="shared" si="49"/>
        <v>NA</v>
      </c>
      <c r="AG165" s="420" t="str">
        <f t="shared" si="44"/>
        <v>NA</v>
      </c>
      <c r="AH165" s="420" t="str">
        <f t="shared" si="45"/>
        <v>NA</v>
      </c>
      <c r="AI165" s="417" t="str">
        <f t="shared" si="46"/>
        <v>NA</v>
      </c>
      <c r="AJ165" s="417" t="str">
        <f t="shared" si="47"/>
        <v>NA</v>
      </c>
      <c r="AK165" s="524" t="str">
        <f>IFERROR(INDEX('Legacy Resident Reference'!R:R,MATCH('Unit Summary - Rent Roll'!AJ165,'Legacy Resident Reference'!P:P,0)),"NA")</f>
        <v>NA</v>
      </c>
    </row>
    <row r="166" spans="2:37" ht="13.8" hidden="1" outlineLevel="1" x14ac:dyDescent="0.3">
      <c r="B166" s="236">
        <v>140</v>
      </c>
      <c r="C166" s="580" t="s">
        <v>143</v>
      </c>
      <c r="D166" s="581"/>
      <c r="E166" s="186" t="s">
        <v>139</v>
      </c>
      <c r="F166" s="187">
        <v>0</v>
      </c>
      <c r="G166" s="239" t="s">
        <v>85</v>
      </c>
      <c r="H166" s="243">
        <v>0</v>
      </c>
      <c r="I166" s="373">
        <f t="shared" si="35"/>
        <v>0</v>
      </c>
      <c r="J166" s="250" t="s">
        <v>139</v>
      </c>
      <c r="K166" s="508" t="s">
        <v>139</v>
      </c>
      <c r="L166" s="399" t="s">
        <v>139</v>
      </c>
      <c r="M166" s="403">
        <v>0</v>
      </c>
      <c r="N166" s="282" t="s">
        <v>139</v>
      </c>
      <c r="O166" s="302" t="str">
        <f>IF(OR(M166=0,N166="NA"),"NA",IFERROR(INDEX('Data - Reference'!$B$37:$B$50,MATCH('Unit Summary - Rent Roll'!$M166,INDEX('Data - Reference'!$B$37:$J$50,,MATCH('Unit Summary - Rent Roll'!$N166,'Data - Reference'!$B$37:$J$37,0)),-1),1),"NA"))</f>
        <v>NA</v>
      </c>
      <c r="P166" s="239" t="s">
        <v>85</v>
      </c>
      <c r="Q166" s="239" t="s">
        <v>85</v>
      </c>
      <c r="R166" s="188">
        <v>0</v>
      </c>
      <c r="S166" s="364">
        <f t="shared" si="36"/>
        <v>0</v>
      </c>
      <c r="T166" s="97">
        <f t="shared" si="37"/>
        <v>0</v>
      </c>
      <c r="U166" s="188">
        <v>0</v>
      </c>
      <c r="V166" s="364">
        <f t="shared" si="38"/>
        <v>0</v>
      </c>
      <c r="W166" s="97">
        <f t="shared" si="39"/>
        <v>0</v>
      </c>
      <c r="X166" s="71">
        <f>IFERROR(IF(INDEX(AC$14:AC$18,MATCH($E166,$AB$14:$AB$18,0))&lt;&gt;0,INDEX(AC$14:AC$18,MATCH($E166,$AB$14:$AB$18,0)),
IF($M166="Market",0,IF($L166="HUD FMR",INDEX('Data - Reference'!$B$31:$G$31,MATCH($E166,'Data - Reference'!$B$9:$G$9,0)),INDEX('Data - Reference'!$B$9:$G$31,MATCH($K166,'Data - Reference'!$B$9:$B$31,0),MATCH($E166,'Data - Reference'!$B$9:$G$9,0))))),0)</f>
        <v>0</v>
      </c>
      <c r="Y166" s="71">
        <f>IFERROR(IF(INDEX(AD$14:AD$18,MATCH($E166,$AB$14:$AB$18,0))&lt;&gt;0,INDEX(AD$14:AD$18,MATCH($E166,$AB$14:$AB$18,0)),
IF($K166="None - Market",0,-INDEX('Data - Reference'!$B$32:$G$32,MATCH($E166,'Data - Reference'!$B$9:$G$9,0)))),0)</f>
        <v>0</v>
      </c>
      <c r="Z166" s="74">
        <f t="shared" si="48"/>
        <v>0</v>
      </c>
      <c r="AA166" s="67">
        <f t="shared" si="40"/>
        <v>0</v>
      </c>
      <c r="AB166" s="97">
        <f t="shared" si="41"/>
        <v>0</v>
      </c>
      <c r="AC166" s="82">
        <f t="shared" si="5"/>
        <v>0</v>
      </c>
      <c r="AD166" s="83">
        <f t="shared" si="42"/>
        <v>0</v>
      </c>
      <c r="AE166" s="97">
        <f t="shared" si="43"/>
        <v>0</v>
      </c>
      <c r="AF166" s="415" t="str">
        <f t="shared" si="49"/>
        <v>NA</v>
      </c>
      <c r="AG166" s="420" t="str">
        <f t="shared" si="44"/>
        <v>NA</v>
      </c>
      <c r="AH166" s="420" t="str">
        <f t="shared" si="45"/>
        <v>NA</v>
      </c>
      <c r="AI166" s="417" t="str">
        <f t="shared" si="46"/>
        <v>NA</v>
      </c>
      <c r="AJ166" s="417" t="str">
        <f t="shared" si="47"/>
        <v>NA</v>
      </c>
      <c r="AK166" s="524" t="str">
        <f>IFERROR(INDEX('Legacy Resident Reference'!R:R,MATCH('Unit Summary - Rent Roll'!AJ166,'Legacy Resident Reference'!P:P,0)),"NA")</f>
        <v>NA</v>
      </c>
    </row>
    <row r="167" spans="2:37" ht="13.8" hidden="1" outlineLevel="1" x14ac:dyDescent="0.3">
      <c r="B167" s="236">
        <v>141</v>
      </c>
      <c r="C167" s="580" t="s">
        <v>143</v>
      </c>
      <c r="D167" s="581"/>
      <c r="E167" s="186" t="s">
        <v>139</v>
      </c>
      <c r="F167" s="187">
        <v>0</v>
      </c>
      <c r="G167" s="239" t="s">
        <v>85</v>
      </c>
      <c r="H167" s="243">
        <v>0</v>
      </c>
      <c r="I167" s="373">
        <f t="shared" si="35"/>
        <v>0</v>
      </c>
      <c r="J167" s="250" t="s">
        <v>139</v>
      </c>
      <c r="K167" s="508" t="s">
        <v>139</v>
      </c>
      <c r="L167" s="399" t="s">
        <v>139</v>
      </c>
      <c r="M167" s="403">
        <v>0</v>
      </c>
      <c r="N167" s="282" t="s">
        <v>139</v>
      </c>
      <c r="O167" s="302" t="str">
        <f>IF(OR(M167=0,N167="NA"),"NA",IFERROR(INDEX('Data - Reference'!$B$37:$B$50,MATCH('Unit Summary - Rent Roll'!$M167,INDEX('Data - Reference'!$B$37:$J$50,,MATCH('Unit Summary - Rent Roll'!$N167,'Data - Reference'!$B$37:$J$37,0)),-1),1),"NA"))</f>
        <v>NA</v>
      </c>
      <c r="P167" s="239" t="s">
        <v>85</v>
      </c>
      <c r="Q167" s="239" t="s">
        <v>85</v>
      </c>
      <c r="R167" s="188">
        <v>0</v>
      </c>
      <c r="S167" s="364">
        <f t="shared" si="36"/>
        <v>0</v>
      </c>
      <c r="T167" s="97">
        <f t="shared" si="37"/>
        <v>0</v>
      </c>
      <c r="U167" s="188">
        <v>0</v>
      </c>
      <c r="V167" s="364">
        <f t="shared" si="38"/>
        <v>0</v>
      </c>
      <c r="W167" s="97">
        <f t="shared" si="39"/>
        <v>0</v>
      </c>
      <c r="X167" s="71">
        <f>IFERROR(IF(INDEX(AC$14:AC$18,MATCH($E167,$AB$14:$AB$18,0))&lt;&gt;0,INDEX(AC$14:AC$18,MATCH($E167,$AB$14:$AB$18,0)),
IF($M167="Market",0,IF($L167="HUD FMR",INDEX('Data - Reference'!$B$31:$G$31,MATCH($E167,'Data - Reference'!$B$9:$G$9,0)),INDEX('Data - Reference'!$B$9:$G$31,MATCH($K167,'Data - Reference'!$B$9:$B$31,0),MATCH($E167,'Data - Reference'!$B$9:$G$9,0))))),0)</f>
        <v>0</v>
      </c>
      <c r="Y167" s="71">
        <f>IFERROR(IF(INDEX(AD$14:AD$18,MATCH($E167,$AB$14:$AB$18,0))&lt;&gt;0,INDEX(AD$14:AD$18,MATCH($E167,$AB$14:$AB$18,0)),
IF($K167="None - Market",0,-INDEX('Data - Reference'!$B$32:$G$32,MATCH($E167,'Data - Reference'!$B$9:$G$9,0)))),0)</f>
        <v>0</v>
      </c>
      <c r="Z167" s="74">
        <f t="shared" si="48"/>
        <v>0</v>
      </c>
      <c r="AA167" s="67">
        <f t="shared" si="40"/>
        <v>0</v>
      </c>
      <c r="AB167" s="97">
        <f t="shared" si="41"/>
        <v>0</v>
      </c>
      <c r="AC167" s="82">
        <f t="shared" si="5"/>
        <v>0</v>
      </c>
      <c r="AD167" s="83">
        <f t="shared" si="42"/>
        <v>0</v>
      </c>
      <c r="AE167" s="97">
        <f t="shared" si="43"/>
        <v>0</v>
      </c>
      <c r="AF167" s="415" t="str">
        <f t="shared" si="49"/>
        <v>NA</v>
      </c>
      <c r="AG167" s="420" t="str">
        <f t="shared" si="44"/>
        <v>NA</v>
      </c>
      <c r="AH167" s="420" t="str">
        <f t="shared" si="45"/>
        <v>NA</v>
      </c>
      <c r="AI167" s="417" t="str">
        <f t="shared" si="46"/>
        <v>NA</v>
      </c>
      <c r="AJ167" s="417" t="str">
        <f t="shared" si="47"/>
        <v>NA</v>
      </c>
      <c r="AK167" s="524" t="str">
        <f>IFERROR(INDEX('Legacy Resident Reference'!R:R,MATCH('Unit Summary - Rent Roll'!AJ167,'Legacy Resident Reference'!P:P,0)),"NA")</f>
        <v>NA</v>
      </c>
    </row>
    <row r="168" spans="2:37" ht="13.8" hidden="1" outlineLevel="1" x14ac:dyDescent="0.3">
      <c r="B168" s="236">
        <v>142</v>
      </c>
      <c r="C168" s="580" t="s">
        <v>143</v>
      </c>
      <c r="D168" s="581"/>
      <c r="E168" s="186" t="s">
        <v>139</v>
      </c>
      <c r="F168" s="187">
        <v>0</v>
      </c>
      <c r="G168" s="239" t="s">
        <v>85</v>
      </c>
      <c r="H168" s="243">
        <v>0</v>
      </c>
      <c r="I168" s="373">
        <f t="shared" si="35"/>
        <v>0</v>
      </c>
      <c r="J168" s="250" t="s">
        <v>139</v>
      </c>
      <c r="K168" s="508" t="s">
        <v>139</v>
      </c>
      <c r="L168" s="399" t="s">
        <v>139</v>
      </c>
      <c r="M168" s="403">
        <v>0</v>
      </c>
      <c r="N168" s="282" t="s">
        <v>139</v>
      </c>
      <c r="O168" s="302" t="str">
        <f>IF(OR(M168=0,N168="NA"),"NA",IFERROR(INDEX('Data - Reference'!$B$37:$B$50,MATCH('Unit Summary - Rent Roll'!$M168,INDEX('Data - Reference'!$B$37:$J$50,,MATCH('Unit Summary - Rent Roll'!$N168,'Data - Reference'!$B$37:$J$37,0)),-1),1),"NA"))</f>
        <v>NA</v>
      </c>
      <c r="P168" s="239" t="s">
        <v>85</v>
      </c>
      <c r="Q168" s="239" t="s">
        <v>85</v>
      </c>
      <c r="R168" s="188">
        <v>0</v>
      </c>
      <c r="S168" s="364">
        <f t="shared" si="36"/>
        <v>0</v>
      </c>
      <c r="T168" s="97">
        <f t="shared" si="37"/>
        <v>0</v>
      </c>
      <c r="U168" s="188">
        <v>0</v>
      </c>
      <c r="V168" s="364">
        <f t="shared" si="38"/>
        <v>0</v>
      </c>
      <c r="W168" s="97">
        <f t="shared" si="39"/>
        <v>0</v>
      </c>
      <c r="X168" s="71">
        <f>IFERROR(IF(INDEX(AC$14:AC$18,MATCH($E168,$AB$14:$AB$18,0))&lt;&gt;0,INDEX(AC$14:AC$18,MATCH($E168,$AB$14:$AB$18,0)),
IF($M168="Market",0,IF($L168="HUD FMR",INDEX('Data - Reference'!$B$31:$G$31,MATCH($E168,'Data - Reference'!$B$9:$G$9,0)),INDEX('Data - Reference'!$B$9:$G$31,MATCH($K168,'Data - Reference'!$B$9:$B$31,0),MATCH($E168,'Data - Reference'!$B$9:$G$9,0))))),0)</f>
        <v>0</v>
      </c>
      <c r="Y168" s="71">
        <f>IFERROR(IF(INDEX(AD$14:AD$18,MATCH($E168,$AB$14:$AB$18,0))&lt;&gt;0,INDEX(AD$14:AD$18,MATCH($E168,$AB$14:$AB$18,0)),
IF($K168="None - Market",0,-INDEX('Data - Reference'!$B$32:$G$32,MATCH($E168,'Data - Reference'!$B$9:$G$9,0)))),0)</f>
        <v>0</v>
      </c>
      <c r="Z168" s="74">
        <f t="shared" si="48"/>
        <v>0</v>
      </c>
      <c r="AA168" s="67">
        <f t="shared" si="40"/>
        <v>0</v>
      </c>
      <c r="AB168" s="97">
        <f t="shared" si="41"/>
        <v>0</v>
      </c>
      <c r="AC168" s="82">
        <f t="shared" si="5"/>
        <v>0</v>
      </c>
      <c r="AD168" s="83">
        <f t="shared" si="42"/>
        <v>0</v>
      </c>
      <c r="AE168" s="97">
        <f t="shared" si="43"/>
        <v>0</v>
      </c>
      <c r="AF168" s="415" t="str">
        <f t="shared" si="49"/>
        <v>NA</v>
      </c>
      <c r="AG168" s="420" t="str">
        <f t="shared" si="44"/>
        <v>NA</v>
      </c>
      <c r="AH168" s="420" t="str">
        <f t="shared" si="45"/>
        <v>NA</v>
      </c>
      <c r="AI168" s="417" t="str">
        <f t="shared" si="46"/>
        <v>NA</v>
      </c>
      <c r="AJ168" s="417" t="str">
        <f t="shared" si="47"/>
        <v>NA</v>
      </c>
      <c r="AK168" s="524" t="str">
        <f>IFERROR(INDEX('Legacy Resident Reference'!R:R,MATCH('Unit Summary - Rent Roll'!AJ168,'Legacy Resident Reference'!P:P,0)),"NA")</f>
        <v>NA</v>
      </c>
    </row>
    <row r="169" spans="2:37" ht="13.8" hidden="1" outlineLevel="1" x14ac:dyDescent="0.3">
      <c r="B169" s="236">
        <v>143</v>
      </c>
      <c r="C169" s="580" t="s">
        <v>143</v>
      </c>
      <c r="D169" s="581"/>
      <c r="E169" s="186" t="s">
        <v>139</v>
      </c>
      <c r="F169" s="187">
        <v>0</v>
      </c>
      <c r="G169" s="239" t="s">
        <v>85</v>
      </c>
      <c r="H169" s="243">
        <v>0</v>
      </c>
      <c r="I169" s="373">
        <f t="shared" si="35"/>
        <v>0</v>
      </c>
      <c r="J169" s="250" t="s">
        <v>139</v>
      </c>
      <c r="K169" s="508" t="s">
        <v>139</v>
      </c>
      <c r="L169" s="399" t="s">
        <v>139</v>
      </c>
      <c r="M169" s="403">
        <v>0</v>
      </c>
      <c r="N169" s="282" t="s">
        <v>139</v>
      </c>
      <c r="O169" s="302" t="str">
        <f>IF(OR(M169=0,N169="NA"),"NA",IFERROR(INDEX('Data - Reference'!$B$37:$B$50,MATCH('Unit Summary - Rent Roll'!$M169,INDEX('Data - Reference'!$B$37:$J$50,,MATCH('Unit Summary - Rent Roll'!$N169,'Data - Reference'!$B$37:$J$37,0)),-1),1),"NA"))</f>
        <v>NA</v>
      </c>
      <c r="P169" s="239" t="s">
        <v>85</v>
      </c>
      <c r="Q169" s="239" t="s">
        <v>85</v>
      </c>
      <c r="R169" s="188">
        <v>0</v>
      </c>
      <c r="S169" s="364">
        <f t="shared" si="36"/>
        <v>0</v>
      </c>
      <c r="T169" s="97">
        <f t="shared" si="37"/>
        <v>0</v>
      </c>
      <c r="U169" s="188">
        <v>0</v>
      </c>
      <c r="V169" s="364">
        <f t="shared" si="38"/>
        <v>0</v>
      </c>
      <c r="W169" s="97">
        <f t="shared" si="39"/>
        <v>0</v>
      </c>
      <c r="X169" s="71">
        <f>IFERROR(IF(INDEX(AC$14:AC$18,MATCH($E169,$AB$14:$AB$18,0))&lt;&gt;0,INDEX(AC$14:AC$18,MATCH($E169,$AB$14:$AB$18,0)),
IF($M169="Market",0,IF($L169="HUD FMR",INDEX('Data - Reference'!$B$31:$G$31,MATCH($E169,'Data - Reference'!$B$9:$G$9,0)),INDEX('Data - Reference'!$B$9:$G$31,MATCH($K169,'Data - Reference'!$B$9:$B$31,0),MATCH($E169,'Data - Reference'!$B$9:$G$9,0))))),0)</f>
        <v>0</v>
      </c>
      <c r="Y169" s="71">
        <f>IFERROR(IF(INDEX(AD$14:AD$18,MATCH($E169,$AB$14:$AB$18,0))&lt;&gt;0,INDEX(AD$14:AD$18,MATCH($E169,$AB$14:$AB$18,0)),
IF($K169="None - Market",0,-INDEX('Data - Reference'!$B$32:$G$32,MATCH($E169,'Data - Reference'!$B$9:$G$9,0)))),0)</f>
        <v>0</v>
      </c>
      <c r="Z169" s="74">
        <f t="shared" si="48"/>
        <v>0</v>
      </c>
      <c r="AA169" s="67">
        <f t="shared" si="40"/>
        <v>0</v>
      </c>
      <c r="AB169" s="97">
        <f t="shared" si="41"/>
        <v>0</v>
      </c>
      <c r="AC169" s="82">
        <f t="shared" si="5"/>
        <v>0</v>
      </c>
      <c r="AD169" s="83">
        <f t="shared" si="42"/>
        <v>0</v>
      </c>
      <c r="AE169" s="97">
        <f t="shared" si="43"/>
        <v>0</v>
      </c>
      <c r="AF169" s="415" t="str">
        <f t="shared" si="49"/>
        <v>NA</v>
      </c>
      <c r="AG169" s="420" t="str">
        <f t="shared" si="44"/>
        <v>NA</v>
      </c>
      <c r="AH169" s="420" t="str">
        <f t="shared" si="45"/>
        <v>NA</v>
      </c>
      <c r="AI169" s="417" t="str">
        <f t="shared" si="46"/>
        <v>NA</v>
      </c>
      <c r="AJ169" s="417" t="str">
        <f t="shared" si="47"/>
        <v>NA</v>
      </c>
      <c r="AK169" s="524" t="str">
        <f>IFERROR(INDEX('Legacy Resident Reference'!R:R,MATCH('Unit Summary - Rent Roll'!AJ169,'Legacy Resident Reference'!P:P,0)),"NA")</f>
        <v>NA</v>
      </c>
    </row>
    <row r="170" spans="2:37" ht="13.8" hidden="1" outlineLevel="1" x14ac:dyDescent="0.3">
      <c r="B170" s="236">
        <v>144</v>
      </c>
      <c r="C170" s="580" t="s">
        <v>143</v>
      </c>
      <c r="D170" s="581"/>
      <c r="E170" s="186" t="s">
        <v>139</v>
      </c>
      <c r="F170" s="187">
        <v>0</v>
      </c>
      <c r="G170" s="239" t="s">
        <v>85</v>
      </c>
      <c r="H170" s="243">
        <v>0</v>
      </c>
      <c r="I170" s="373">
        <f t="shared" si="35"/>
        <v>0</v>
      </c>
      <c r="J170" s="250" t="s">
        <v>139</v>
      </c>
      <c r="K170" s="508" t="s">
        <v>139</v>
      </c>
      <c r="L170" s="399" t="s">
        <v>139</v>
      </c>
      <c r="M170" s="403">
        <v>0</v>
      </c>
      <c r="N170" s="282" t="s">
        <v>139</v>
      </c>
      <c r="O170" s="302" t="str">
        <f>IF(OR(M170=0,N170="NA"),"NA",IFERROR(INDEX('Data - Reference'!$B$37:$B$50,MATCH('Unit Summary - Rent Roll'!$M170,INDEX('Data - Reference'!$B$37:$J$50,,MATCH('Unit Summary - Rent Roll'!$N170,'Data - Reference'!$B$37:$J$37,0)),-1),1),"NA"))</f>
        <v>NA</v>
      </c>
      <c r="P170" s="239" t="s">
        <v>85</v>
      </c>
      <c r="Q170" s="239" t="s">
        <v>85</v>
      </c>
      <c r="R170" s="188">
        <v>0</v>
      </c>
      <c r="S170" s="364">
        <f t="shared" si="36"/>
        <v>0</v>
      </c>
      <c r="T170" s="97">
        <f t="shared" si="37"/>
        <v>0</v>
      </c>
      <c r="U170" s="188">
        <v>0</v>
      </c>
      <c r="V170" s="364">
        <f t="shared" si="38"/>
        <v>0</v>
      </c>
      <c r="W170" s="97">
        <f t="shared" si="39"/>
        <v>0</v>
      </c>
      <c r="X170" s="71">
        <f>IFERROR(IF(INDEX(AC$14:AC$18,MATCH($E170,$AB$14:$AB$18,0))&lt;&gt;0,INDEX(AC$14:AC$18,MATCH($E170,$AB$14:$AB$18,0)),
IF($M170="Market",0,IF($L170="HUD FMR",INDEX('Data - Reference'!$B$31:$G$31,MATCH($E170,'Data - Reference'!$B$9:$G$9,0)),INDEX('Data - Reference'!$B$9:$G$31,MATCH($K170,'Data - Reference'!$B$9:$B$31,0),MATCH($E170,'Data - Reference'!$B$9:$G$9,0))))),0)</f>
        <v>0</v>
      </c>
      <c r="Y170" s="71">
        <f>IFERROR(IF(INDEX(AD$14:AD$18,MATCH($E170,$AB$14:$AB$18,0))&lt;&gt;0,INDEX(AD$14:AD$18,MATCH($E170,$AB$14:$AB$18,0)),
IF($K170="None - Market",0,-INDEX('Data - Reference'!$B$32:$G$32,MATCH($E170,'Data - Reference'!$B$9:$G$9,0)))),0)</f>
        <v>0</v>
      </c>
      <c r="Z170" s="74">
        <f t="shared" si="48"/>
        <v>0</v>
      </c>
      <c r="AA170" s="67">
        <f t="shared" si="40"/>
        <v>0</v>
      </c>
      <c r="AB170" s="97">
        <f t="shared" si="41"/>
        <v>0</v>
      </c>
      <c r="AC170" s="82">
        <f t="shared" si="5"/>
        <v>0</v>
      </c>
      <c r="AD170" s="83">
        <f t="shared" si="42"/>
        <v>0</v>
      </c>
      <c r="AE170" s="97">
        <f t="shared" si="43"/>
        <v>0</v>
      </c>
      <c r="AF170" s="415" t="str">
        <f t="shared" si="49"/>
        <v>NA</v>
      </c>
      <c r="AG170" s="420" t="str">
        <f t="shared" si="44"/>
        <v>NA</v>
      </c>
      <c r="AH170" s="420" t="str">
        <f t="shared" si="45"/>
        <v>NA</v>
      </c>
      <c r="AI170" s="417" t="str">
        <f t="shared" si="46"/>
        <v>NA</v>
      </c>
      <c r="AJ170" s="417" t="str">
        <f t="shared" si="47"/>
        <v>NA</v>
      </c>
      <c r="AK170" s="524" t="str">
        <f>IFERROR(INDEX('Legacy Resident Reference'!R:R,MATCH('Unit Summary - Rent Roll'!AJ170,'Legacy Resident Reference'!P:P,0)),"NA")</f>
        <v>NA</v>
      </c>
    </row>
    <row r="171" spans="2:37" ht="13.8" hidden="1" outlineLevel="1" x14ac:dyDescent="0.3">
      <c r="B171" s="236">
        <v>145</v>
      </c>
      <c r="C171" s="580" t="s">
        <v>143</v>
      </c>
      <c r="D171" s="581"/>
      <c r="E171" s="186" t="s">
        <v>139</v>
      </c>
      <c r="F171" s="187">
        <v>0</v>
      </c>
      <c r="G171" s="239" t="s">
        <v>85</v>
      </c>
      <c r="H171" s="243">
        <v>0</v>
      </c>
      <c r="I171" s="373">
        <f t="shared" si="35"/>
        <v>0</v>
      </c>
      <c r="J171" s="250" t="s">
        <v>139</v>
      </c>
      <c r="K171" s="508" t="s">
        <v>139</v>
      </c>
      <c r="L171" s="399" t="s">
        <v>139</v>
      </c>
      <c r="M171" s="403">
        <v>0</v>
      </c>
      <c r="N171" s="282" t="s">
        <v>139</v>
      </c>
      <c r="O171" s="302" t="str">
        <f>IF(OR(M171=0,N171="NA"),"NA",IFERROR(INDEX('Data - Reference'!$B$37:$B$50,MATCH('Unit Summary - Rent Roll'!$M171,INDEX('Data - Reference'!$B$37:$J$50,,MATCH('Unit Summary - Rent Roll'!$N171,'Data - Reference'!$B$37:$J$37,0)),-1),1),"NA"))</f>
        <v>NA</v>
      </c>
      <c r="P171" s="239" t="s">
        <v>85</v>
      </c>
      <c r="Q171" s="239" t="s">
        <v>85</v>
      </c>
      <c r="R171" s="188">
        <v>0</v>
      </c>
      <c r="S171" s="364">
        <f t="shared" si="36"/>
        <v>0</v>
      </c>
      <c r="T171" s="97">
        <f t="shared" si="37"/>
        <v>0</v>
      </c>
      <c r="U171" s="188">
        <v>0</v>
      </c>
      <c r="V171" s="364">
        <f t="shared" si="38"/>
        <v>0</v>
      </c>
      <c r="W171" s="97">
        <f t="shared" si="39"/>
        <v>0</v>
      </c>
      <c r="X171" s="71">
        <f>IFERROR(IF(INDEX(AC$14:AC$18,MATCH($E171,$AB$14:$AB$18,0))&lt;&gt;0,INDEX(AC$14:AC$18,MATCH($E171,$AB$14:$AB$18,0)),
IF($M171="Market",0,IF($L171="HUD FMR",INDEX('Data - Reference'!$B$31:$G$31,MATCH($E171,'Data - Reference'!$B$9:$G$9,0)),INDEX('Data - Reference'!$B$9:$G$31,MATCH($K171,'Data - Reference'!$B$9:$B$31,0),MATCH($E171,'Data - Reference'!$B$9:$G$9,0))))),0)</f>
        <v>0</v>
      </c>
      <c r="Y171" s="71">
        <f>IFERROR(IF(INDEX(AD$14:AD$18,MATCH($E171,$AB$14:$AB$18,0))&lt;&gt;0,INDEX(AD$14:AD$18,MATCH($E171,$AB$14:$AB$18,0)),
IF($K171="None - Market",0,-INDEX('Data - Reference'!$B$32:$G$32,MATCH($E171,'Data - Reference'!$B$9:$G$9,0)))),0)</f>
        <v>0</v>
      </c>
      <c r="Z171" s="74">
        <f t="shared" si="48"/>
        <v>0</v>
      </c>
      <c r="AA171" s="67">
        <f t="shared" si="40"/>
        <v>0</v>
      </c>
      <c r="AB171" s="97">
        <f t="shared" si="41"/>
        <v>0</v>
      </c>
      <c r="AC171" s="82">
        <f t="shared" si="5"/>
        <v>0</v>
      </c>
      <c r="AD171" s="83">
        <f t="shared" si="42"/>
        <v>0</v>
      </c>
      <c r="AE171" s="97">
        <f t="shared" si="43"/>
        <v>0</v>
      </c>
      <c r="AF171" s="415" t="str">
        <f t="shared" si="49"/>
        <v>NA</v>
      </c>
      <c r="AG171" s="420" t="str">
        <f t="shared" si="44"/>
        <v>NA</v>
      </c>
      <c r="AH171" s="420" t="str">
        <f t="shared" si="45"/>
        <v>NA</v>
      </c>
      <c r="AI171" s="417" t="str">
        <f t="shared" si="46"/>
        <v>NA</v>
      </c>
      <c r="AJ171" s="417" t="str">
        <f t="shared" si="47"/>
        <v>NA</v>
      </c>
      <c r="AK171" s="524" t="str">
        <f>IFERROR(INDEX('Legacy Resident Reference'!R:R,MATCH('Unit Summary - Rent Roll'!AJ171,'Legacy Resident Reference'!P:P,0)),"NA")</f>
        <v>NA</v>
      </c>
    </row>
    <row r="172" spans="2:37" ht="13.8" hidden="1" outlineLevel="1" x14ac:dyDescent="0.3">
      <c r="B172" s="236">
        <v>146</v>
      </c>
      <c r="C172" s="580" t="s">
        <v>143</v>
      </c>
      <c r="D172" s="581"/>
      <c r="E172" s="186" t="s">
        <v>139</v>
      </c>
      <c r="F172" s="187">
        <v>0</v>
      </c>
      <c r="G172" s="239" t="s">
        <v>85</v>
      </c>
      <c r="H172" s="243">
        <v>0</v>
      </c>
      <c r="I172" s="373">
        <f t="shared" si="35"/>
        <v>0</v>
      </c>
      <c r="J172" s="250" t="s">
        <v>139</v>
      </c>
      <c r="K172" s="508" t="s">
        <v>139</v>
      </c>
      <c r="L172" s="399" t="s">
        <v>139</v>
      </c>
      <c r="M172" s="403">
        <v>0</v>
      </c>
      <c r="N172" s="282" t="s">
        <v>139</v>
      </c>
      <c r="O172" s="302" t="str">
        <f>IF(OR(M172=0,N172="NA"),"NA",IFERROR(INDEX('Data - Reference'!$B$37:$B$50,MATCH('Unit Summary - Rent Roll'!$M172,INDEX('Data - Reference'!$B$37:$J$50,,MATCH('Unit Summary - Rent Roll'!$N172,'Data - Reference'!$B$37:$J$37,0)),-1),1),"NA"))</f>
        <v>NA</v>
      </c>
      <c r="P172" s="239" t="s">
        <v>85</v>
      </c>
      <c r="Q172" s="239" t="s">
        <v>85</v>
      </c>
      <c r="R172" s="188">
        <v>0</v>
      </c>
      <c r="S172" s="364">
        <f t="shared" si="36"/>
        <v>0</v>
      </c>
      <c r="T172" s="97">
        <f t="shared" si="37"/>
        <v>0</v>
      </c>
      <c r="U172" s="188">
        <v>0</v>
      </c>
      <c r="V172" s="364">
        <f t="shared" si="38"/>
        <v>0</v>
      </c>
      <c r="W172" s="97">
        <f t="shared" si="39"/>
        <v>0</v>
      </c>
      <c r="X172" s="71">
        <f>IFERROR(IF(INDEX(AC$14:AC$18,MATCH($E172,$AB$14:$AB$18,0))&lt;&gt;0,INDEX(AC$14:AC$18,MATCH($E172,$AB$14:$AB$18,0)),
IF($M172="Market",0,IF($L172="HUD FMR",INDEX('Data - Reference'!$B$31:$G$31,MATCH($E172,'Data - Reference'!$B$9:$G$9,0)),INDEX('Data - Reference'!$B$9:$G$31,MATCH($K172,'Data - Reference'!$B$9:$B$31,0),MATCH($E172,'Data - Reference'!$B$9:$G$9,0))))),0)</f>
        <v>0</v>
      </c>
      <c r="Y172" s="71">
        <f>IFERROR(IF(INDEX(AD$14:AD$18,MATCH($E172,$AB$14:$AB$18,0))&lt;&gt;0,INDEX(AD$14:AD$18,MATCH($E172,$AB$14:$AB$18,0)),
IF($K172="None - Market",0,-INDEX('Data - Reference'!$B$32:$G$32,MATCH($E172,'Data - Reference'!$B$9:$G$9,0)))),0)</f>
        <v>0</v>
      </c>
      <c r="Z172" s="74">
        <f t="shared" si="48"/>
        <v>0</v>
      </c>
      <c r="AA172" s="67">
        <f t="shared" si="40"/>
        <v>0</v>
      </c>
      <c r="AB172" s="97">
        <f t="shared" si="41"/>
        <v>0</v>
      </c>
      <c r="AC172" s="82">
        <f t="shared" si="5"/>
        <v>0</v>
      </c>
      <c r="AD172" s="83">
        <f t="shared" si="42"/>
        <v>0</v>
      </c>
      <c r="AE172" s="97">
        <f t="shared" si="43"/>
        <v>0</v>
      </c>
      <c r="AF172" s="415" t="str">
        <f t="shared" si="49"/>
        <v>NA</v>
      </c>
      <c r="AG172" s="420" t="str">
        <f t="shared" si="44"/>
        <v>NA</v>
      </c>
      <c r="AH172" s="420" t="str">
        <f t="shared" si="45"/>
        <v>NA</v>
      </c>
      <c r="AI172" s="417" t="str">
        <f t="shared" si="46"/>
        <v>NA</v>
      </c>
      <c r="AJ172" s="417" t="str">
        <f t="shared" si="47"/>
        <v>NA</v>
      </c>
      <c r="AK172" s="524" t="str">
        <f>IFERROR(INDEX('Legacy Resident Reference'!R:R,MATCH('Unit Summary - Rent Roll'!AJ172,'Legacy Resident Reference'!P:P,0)),"NA")</f>
        <v>NA</v>
      </c>
    </row>
    <row r="173" spans="2:37" ht="13.8" hidden="1" outlineLevel="1" x14ac:dyDescent="0.3">
      <c r="B173" s="236">
        <v>147</v>
      </c>
      <c r="C173" s="580" t="s">
        <v>143</v>
      </c>
      <c r="D173" s="581"/>
      <c r="E173" s="186" t="s">
        <v>139</v>
      </c>
      <c r="F173" s="187">
        <v>0</v>
      </c>
      <c r="G173" s="239" t="s">
        <v>85</v>
      </c>
      <c r="H173" s="243">
        <v>0</v>
      </c>
      <c r="I173" s="373">
        <f t="shared" si="35"/>
        <v>0</v>
      </c>
      <c r="J173" s="250" t="s">
        <v>139</v>
      </c>
      <c r="K173" s="508" t="s">
        <v>139</v>
      </c>
      <c r="L173" s="399" t="s">
        <v>139</v>
      </c>
      <c r="M173" s="403">
        <v>0</v>
      </c>
      <c r="N173" s="282" t="s">
        <v>139</v>
      </c>
      <c r="O173" s="302" t="str">
        <f>IF(OR(M173=0,N173="NA"),"NA",IFERROR(INDEX('Data - Reference'!$B$37:$B$50,MATCH('Unit Summary - Rent Roll'!$M173,INDEX('Data - Reference'!$B$37:$J$50,,MATCH('Unit Summary - Rent Roll'!$N173,'Data - Reference'!$B$37:$J$37,0)),-1),1),"NA"))</f>
        <v>NA</v>
      </c>
      <c r="P173" s="239" t="s">
        <v>85</v>
      </c>
      <c r="Q173" s="239" t="s">
        <v>85</v>
      </c>
      <c r="R173" s="188">
        <v>0</v>
      </c>
      <c r="S173" s="364">
        <f t="shared" si="36"/>
        <v>0</v>
      </c>
      <c r="T173" s="97">
        <f t="shared" si="37"/>
        <v>0</v>
      </c>
      <c r="U173" s="188">
        <v>0</v>
      </c>
      <c r="V173" s="364">
        <f t="shared" si="38"/>
        <v>0</v>
      </c>
      <c r="W173" s="97">
        <f t="shared" si="39"/>
        <v>0</v>
      </c>
      <c r="X173" s="71">
        <f>IFERROR(IF(INDEX(AC$14:AC$18,MATCH($E173,$AB$14:$AB$18,0))&lt;&gt;0,INDEX(AC$14:AC$18,MATCH($E173,$AB$14:$AB$18,0)),
IF($M173="Market",0,IF($L173="HUD FMR",INDEX('Data - Reference'!$B$31:$G$31,MATCH($E173,'Data - Reference'!$B$9:$G$9,0)),INDEX('Data - Reference'!$B$9:$G$31,MATCH($K173,'Data - Reference'!$B$9:$B$31,0),MATCH($E173,'Data - Reference'!$B$9:$G$9,0))))),0)</f>
        <v>0</v>
      </c>
      <c r="Y173" s="71">
        <f>IFERROR(IF(INDEX(AD$14:AD$18,MATCH($E173,$AB$14:$AB$18,0))&lt;&gt;0,INDEX(AD$14:AD$18,MATCH($E173,$AB$14:$AB$18,0)),
IF($K173="None - Market",0,-INDEX('Data - Reference'!$B$32:$G$32,MATCH($E173,'Data - Reference'!$B$9:$G$9,0)))),0)</f>
        <v>0</v>
      </c>
      <c r="Z173" s="74">
        <f t="shared" si="48"/>
        <v>0</v>
      </c>
      <c r="AA173" s="67">
        <f t="shared" si="40"/>
        <v>0</v>
      </c>
      <c r="AB173" s="97">
        <f t="shared" si="41"/>
        <v>0</v>
      </c>
      <c r="AC173" s="82">
        <f t="shared" si="5"/>
        <v>0</v>
      </c>
      <c r="AD173" s="83">
        <f t="shared" si="42"/>
        <v>0</v>
      </c>
      <c r="AE173" s="97">
        <f t="shared" si="43"/>
        <v>0</v>
      </c>
      <c r="AF173" s="415" t="str">
        <f t="shared" si="49"/>
        <v>NA</v>
      </c>
      <c r="AG173" s="420" t="str">
        <f t="shared" si="44"/>
        <v>NA</v>
      </c>
      <c r="AH173" s="420" t="str">
        <f t="shared" si="45"/>
        <v>NA</v>
      </c>
      <c r="AI173" s="417" t="str">
        <f t="shared" si="46"/>
        <v>NA</v>
      </c>
      <c r="AJ173" s="417" t="str">
        <f t="shared" si="47"/>
        <v>NA</v>
      </c>
      <c r="AK173" s="524" t="str">
        <f>IFERROR(INDEX('Legacy Resident Reference'!R:R,MATCH('Unit Summary - Rent Roll'!AJ173,'Legacy Resident Reference'!P:P,0)),"NA")</f>
        <v>NA</v>
      </c>
    </row>
    <row r="174" spans="2:37" ht="13.8" hidden="1" outlineLevel="1" x14ac:dyDescent="0.3">
      <c r="B174" s="236">
        <v>148</v>
      </c>
      <c r="C174" s="580" t="s">
        <v>143</v>
      </c>
      <c r="D174" s="581"/>
      <c r="E174" s="186" t="s">
        <v>139</v>
      </c>
      <c r="F174" s="187">
        <v>0</v>
      </c>
      <c r="G174" s="239" t="s">
        <v>85</v>
      </c>
      <c r="H174" s="243">
        <v>0</v>
      </c>
      <c r="I174" s="373">
        <f t="shared" si="35"/>
        <v>0</v>
      </c>
      <c r="J174" s="250" t="s">
        <v>139</v>
      </c>
      <c r="K174" s="508" t="s">
        <v>139</v>
      </c>
      <c r="L174" s="399" t="s">
        <v>139</v>
      </c>
      <c r="M174" s="403">
        <v>0</v>
      </c>
      <c r="N174" s="282" t="s">
        <v>139</v>
      </c>
      <c r="O174" s="302" t="str">
        <f>IF(OR(M174=0,N174="NA"),"NA",IFERROR(INDEX('Data - Reference'!$B$37:$B$50,MATCH('Unit Summary - Rent Roll'!$M174,INDEX('Data - Reference'!$B$37:$J$50,,MATCH('Unit Summary - Rent Roll'!$N174,'Data - Reference'!$B$37:$J$37,0)),-1),1),"NA"))</f>
        <v>NA</v>
      </c>
      <c r="P174" s="239" t="s">
        <v>85</v>
      </c>
      <c r="Q174" s="239" t="s">
        <v>85</v>
      </c>
      <c r="R174" s="188">
        <v>0</v>
      </c>
      <c r="S174" s="364">
        <f t="shared" si="36"/>
        <v>0</v>
      </c>
      <c r="T174" s="97">
        <f t="shared" si="37"/>
        <v>0</v>
      </c>
      <c r="U174" s="188">
        <v>0</v>
      </c>
      <c r="V174" s="364">
        <f t="shared" si="38"/>
        <v>0</v>
      </c>
      <c r="W174" s="97">
        <f t="shared" si="39"/>
        <v>0</v>
      </c>
      <c r="X174" s="71">
        <f>IFERROR(IF(INDEX(AC$14:AC$18,MATCH($E174,$AB$14:$AB$18,0))&lt;&gt;0,INDEX(AC$14:AC$18,MATCH($E174,$AB$14:$AB$18,0)),
IF($M174="Market",0,IF($L174="HUD FMR",INDEX('Data - Reference'!$B$31:$G$31,MATCH($E174,'Data - Reference'!$B$9:$G$9,0)),INDEX('Data - Reference'!$B$9:$G$31,MATCH($K174,'Data - Reference'!$B$9:$B$31,0),MATCH($E174,'Data - Reference'!$B$9:$G$9,0))))),0)</f>
        <v>0</v>
      </c>
      <c r="Y174" s="71">
        <f>IFERROR(IF(INDEX(AD$14:AD$18,MATCH($E174,$AB$14:$AB$18,0))&lt;&gt;0,INDEX(AD$14:AD$18,MATCH($E174,$AB$14:$AB$18,0)),
IF($K174="None - Market",0,-INDEX('Data - Reference'!$B$32:$G$32,MATCH($E174,'Data - Reference'!$B$9:$G$9,0)))),0)</f>
        <v>0</v>
      </c>
      <c r="Z174" s="74">
        <f t="shared" si="48"/>
        <v>0</v>
      </c>
      <c r="AA174" s="67">
        <f t="shared" si="40"/>
        <v>0</v>
      </c>
      <c r="AB174" s="97">
        <f t="shared" si="41"/>
        <v>0</v>
      </c>
      <c r="AC174" s="82">
        <f t="shared" si="5"/>
        <v>0</v>
      </c>
      <c r="AD174" s="83">
        <f t="shared" si="42"/>
        <v>0</v>
      </c>
      <c r="AE174" s="97">
        <f t="shared" si="43"/>
        <v>0</v>
      </c>
      <c r="AF174" s="415" t="str">
        <f t="shared" si="49"/>
        <v>NA</v>
      </c>
      <c r="AG174" s="420" t="str">
        <f t="shared" si="44"/>
        <v>NA</v>
      </c>
      <c r="AH174" s="420" t="str">
        <f t="shared" si="45"/>
        <v>NA</v>
      </c>
      <c r="AI174" s="417" t="str">
        <f t="shared" si="46"/>
        <v>NA</v>
      </c>
      <c r="AJ174" s="417" t="str">
        <f t="shared" si="47"/>
        <v>NA</v>
      </c>
      <c r="AK174" s="524" t="str">
        <f>IFERROR(INDEX('Legacy Resident Reference'!R:R,MATCH('Unit Summary - Rent Roll'!AJ174,'Legacy Resident Reference'!P:P,0)),"NA")</f>
        <v>NA</v>
      </c>
    </row>
    <row r="175" spans="2:37" ht="13.8" hidden="1" outlineLevel="1" x14ac:dyDescent="0.3">
      <c r="B175" s="236">
        <v>149</v>
      </c>
      <c r="C175" s="580" t="s">
        <v>143</v>
      </c>
      <c r="D175" s="581"/>
      <c r="E175" s="186" t="s">
        <v>139</v>
      </c>
      <c r="F175" s="187">
        <v>0</v>
      </c>
      <c r="G175" s="239" t="s">
        <v>85</v>
      </c>
      <c r="H175" s="243">
        <v>0</v>
      </c>
      <c r="I175" s="373">
        <f t="shared" si="35"/>
        <v>0</v>
      </c>
      <c r="J175" s="250" t="s">
        <v>139</v>
      </c>
      <c r="K175" s="508" t="s">
        <v>139</v>
      </c>
      <c r="L175" s="399" t="s">
        <v>139</v>
      </c>
      <c r="M175" s="403">
        <v>0</v>
      </c>
      <c r="N175" s="282" t="s">
        <v>139</v>
      </c>
      <c r="O175" s="302" t="str">
        <f>IF(OR(M175=0,N175="NA"),"NA",IFERROR(INDEX('Data - Reference'!$B$37:$B$50,MATCH('Unit Summary - Rent Roll'!$M175,INDEX('Data - Reference'!$B$37:$J$50,,MATCH('Unit Summary - Rent Roll'!$N175,'Data - Reference'!$B$37:$J$37,0)),-1),1),"NA"))</f>
        <v>NA</v>
      </c>
      <c r="P175" s="239" t="s">
        <v>85</v>
      </c>
      <c r="Q175" s="239" t="s">
        <v>85</v>
      </c>
      <c r="R175" s="188">
        <v>0</v>
      </c>
      <c r="S175" s="364">
        <f t="shared" si="36"/>
        <v>0</v>
      </c>
      <c r="T175" s="97">
        <f t="shared" si="37"/>
        <v>0</v>
      </c>
      <c r="U175" s="188">
        <v>0</v>
      </c>
      <c r="V175" s="364">
        <f t="shared" si="38"/>
        <v>0</v>
      </c>
      <c r="W175" s="97">
        <f t="shared" si="39"/>
        <v>0</v>
      </c>
      <c r="X175" s="71">
        <f>IFERROR(IF(INDEX(AC$14:AC$18,MATCH($E175,$AB$14:$AB$18,0))&lt;&gt;0,INDEX(AC$14:AC$18,MATCH($E175,$AB$14:$AB$18,0)),
IF($M175="Market",0,IF($L175="HUD FMR",INDEX('Data - Reference'!$B$31:$G$31,MATCH($E175,'Data - Reference'!$B$9:$G$9,0)),INDEX('Data - Reference'!$B$9:$G$31,MATCH($K175,'Data - Reference'!$B$9:$B$31,0),MATCH($E175,'Data - Reference'!$B$9:$G$9,0))))),0)</f>
        <v>0</v>
      </c>
      <c r="Y175" s="71">
        <f>IFERROR(IF(INDEX(AD$14:AD$18,MATCH($E175,$AB$14:$AB$18,0))&lt;&gt;0,INDEX(AD$14:AD$18,MATCH($E175,$AB$14:$AB$18,0)),
IF($K175="None - Market",0,-INDEX('Data - Reference'!$B$32:$G$32,MATCH($E175,'Data - Reference'!$B$9:$G$9,0)))),0)</f>
        <v>0</v>
      </c>
      <c r="Z175" s="74">
        <f t="shared" si="48"/>
        <v>0</v>
      </c>
      <c r="AA175" s="67">
        <f t="shared" si="40"/>
        <v>0</v>
      </c>
      <c r="AB175" s="97">
        <f t="shared" si="41"/>
        <v>0</v>
      </c>
      <c r="AC175" s="82">
        <f t="shared" si="5"/>
        <v>0</v>
      </c>
      <c r="AD175" s="83">
        <f t="shared" si="42"/>
        <v>0</v>
      </c>
      <c r="AE175" s="97">
        <f t="shared" si="43"/>
        <v>0</v>
      </c>
      <c r="AF175" s="415" t="str">
        <f t="shared" si="49"/>
        <v>NA</v>
      </c>
      <c r="AG175" s="420" t="str">
        <f t="shared" si="44"/>
        <v>NA</v>
      </c>
      <c r="AH175" s="420" t="str">
        <f t="shared" si="45"/>
        <v>NA</v>
      </c>
      <c r="AI175" s="417" t="str">
        <f t="shared" si="46"/>
        <v>NA</v>
      </c>
      <c r="AJ175" s="417" t="str">
        <f t="shared" si="47"/>
        <v>NA</v>
      </c>
      <c r="AK175" s="524" t="str">
        <f>IFERROR(INDEX('Legacy Resident Reference'!R:R,MATCH('Unit Summary - Rent Roll'!AJ175,'Legacy Resident Reference'!P:P,0)),"NA")</f>
        <v>NA</v>
      </c>
    </row>
    <row r="176" spans="2:37" ht="13.8" hidden="1" outlineLevel="1" x14ac:dyDescent="0.3">
      <c r="B176" s="236">
        <v>150</v>
      </c>
      <c r="C176" s="580" t="s">
        <v>143</v>
      </c>
      <c r="D176" s="581"/>
      <c r="E176" s="186" t="s">
        <v>139</v>
      </c>
      <c r="F176" s="187">
        <v>0</v>
      </c>
      <c r="G176" s="239" t="s">
        <v>85</v>
      </c>
      <c r="H176" s="243">
        <v>0</v>
      </c>
      <c r="I176" s="373">
        <f t="shared" si="35"/>
        <v>0</v>
      </c>
      <c r="J176" s="250" t="s">
        <v>139</v>
      </c>
      <c r="K176" s="508" t="s">
        <v>139</v>
      </c>
      <c r="L176" s="399" t="s">
        <v>139</v>
      </c>
      <c r="M176" s="403">
        <v>0</v>
      </c>
      <c r="N176" s="282" t="s">
        <v>139</v>
      </c>
      <c r="O176" s="302" t="str">
        <f>IF(OR(M176=0,N176="NA"),"NA",IFERROR(INDEX('Data - Reference'!$B$37:$B$50,MATCH('Unit Summary - Rent Roll'!$M176,INDEX('Data - Reference'!$B$37:$J$50,,MATCH('Unit Summary - Rent Roll'!$N176,'Data - Reference'!$B$37:$J$37,0)),-1),1),"NA"))</f>
        <v>NA</v>
      </c>
      <c r="P176" s="239" t="s">
        <v>85</v>
      </c>
      <c r="Q176" s="239" t="s">
        <v>85</v>
      </c>
      <c r="R176" s="188">
        <v>0</v>
      </c>
      <c r="S176" s="364">
        <f t="shared" si="36"/>
        <v>0</v>
      </c>
      <c r="T176" s="97">
        <f t="shared" si="37"/>
        <v>0</v>
      </c>
      <c r="U176" s="188">
        <v>0</v>
      </c>
      <c r="V176" s="364">
        <f t="shared" si="38"/>
        <v>0</v>
      </c>
      <c r="W176" s="97">
        <f t="shared" si="39"/>
        <v>0</v>
      </c>
      <c r="X176" s="71">
        <f>IFERROR(IF(INDEX(AC$14:AC$18,MATCH($E176,$AB$14:$AB$18,0))&lt;&gt;0,INDEX(AC$14:AC$18,MATCH($E176,$AB$14:$AB$18,0)),
IF($M176="Market",0,IF($L176="HUD FMR",INDEX('Data - Reference'!$B$31:$G$31,MATCH($E176,'Data - Reference'!$B$9:$G$9,0)),INDEX('Data - Reference'!$B$9:$G$31,MATCH($K176,'Data - Reference'!$B$9:$B$31,0),MATCH($E176,'Data - Reference'!$B$9:$G$9,0))))),0)</f>
        <v>0</v>
      </c>
      <c r="Y176" s="71">
        <f>IFERROR(IF(INDEX(AD$14:AD$18,MATCH($E176,$AB$14:$AB$18,0))&lt;&gt;0,INDEX(AD$14:AD$18,MATCH($E176,$AB$14:$AB$18,0)),
IF($K176="None - Market",0,-INDEX('Data - Reference'!$B$32:$G$32,MATCH($E176,'Data - Reference'!$B$9:$G$9,0)))),0)</f>
        <v>0</v>
      </c>
      <c r="Z176" s="74">
        <f t="shared" si="48"/>
        <v>0</v>
      </c>
      <c r="AA176" s="67">
        <f t="shared" si="40"/>
        <v>0</v>
      </c>
      <c r="AB176" s="97">
        <f t="shared" si="41"/>
        <v>0</v>
      </c>
      <c r="AC176" s="82">
        <f t="shared" si="5"/>
        <v>0</v>
      </c>
      <c r="AD176" s="83">
        <f t="shared" si="42"/>
        <v>0</v>
      </c>
      <c r="AE176" s="97">
        <f t="shared" si="43"/>
        <v>0</v>
      </c>
      <c r="AF176" s="415" t="str">
        <f t="shared" si="49"/>
        <v>NA</v>
      </c>
      <c r="AG176" s="420" t="str">
        <f t="shared" si="44"/>
        <v>NA</v>
      </c>
      <c r="AH176" s="420" t="str">
        <f t="shared" si="45"/>
        <v>NA</v>
      </c>
      <c r="AI176" s="417" t="str">
        <f t="shared" si="46"/>
        <v>NA</v>
      </c>
      <c r="AJ176" s="417" t="str">
        <f t="shared" si="47"/>
        <v>NA</v>
      </c>
      <c r="AK176" s="524" t="str">
        <f>IFERROR(INDEX('Legacy Resident Reference'!R:R,MATCH('Unit Summary - Rent Roll'!AJ176,'Legacy Resident Reference'!P:P,0)),"NA")</f>
        <v>NA</v>
      </c>
    </row>
    <row r="177" spans="2:37" ht="13.8" hidden="1" outlineLevel="1" x14ac:dyDescent="0.3">
      <c r="B177" s="236">
        <v>151</v>
      </c>
      <c r="C177" s="580" t="s">
        <v>143</v>
      </c>
      <c r="D177" s="581"/>
      <c r="E177" s="186" t="s">
        <v>139</v>
      </c>
      <c r="F177" s="187">
        <v>0</v>
      </c>
      <c r="G177" s="239" t="s">
        <v>85</v>
      </c>
      <c r="H177" s="243">
        <v>0</v>
      </c>
      <c r="I177" s="373">
        <f t="shared" si="35"/>
        <v>0</v>
      </c>
      <c r="J177" s="250" t="s">
        <v>139</v>
      </c>
      <c r="K177" s="508" t="s">
        <v>139</v>
      </c>
      <c r="L177" s="399" t="s">
        <v>139</v>
      </c>
      <c r="M177" s="403">
        <v>0</v>
      </c>
      <c r="N177" s="282" t="s">
        <v>139</v>
      </c>
      <c r="O177" s="302" t="str">
        <f>IF(OR(M177=0,N177="NA"),"NA",IFERROR(INDEX('Data - Reference'!$B$37:$B$50,MATCH('Unit Summary - Rent Roll'!$M177,INDEX('Data - Reference'!$B$37:$J$50,,MATCH('Unit Summary - Rent Roll'!$N177,'Data - Reference'!$B$37:$J$37,0)),-1),1),"NA"))</f>
        <v>NA</v>
      </c>
      <c r="P177" s="239" t="s">
        <v>85</v>
      </c>
      <c r="Q177" s="239" t="s">
        <v>85</v>
      </c>
      <c r="R177" s="188">
        <v>0</v>
      </c>
      <c r="S177" s="364">
        <f t="shared" si="36"/>
        <v>0</v>
      </c>
      <c r="T177" s="97">
        <f t="shared" si="37"/>
        <v>0</v>
      </c>
      <c r="U177" s="188">
        <v>0</v>
      </c>
      <c r="V177" s="364">
        <f t="shared" si="38"/>
        <v>0</v>
      </c>
      <c r="W177" s="97">
        <f t="shared" si="39"/>
        <v>0</v>
      </c>
      <c r="X177" s="71">
        <f>IFERROR(IF(INDEX(AC$14:AC$18,MATCH($E177,$AB$14:$AB$18,0))&lt;&gt;0,INDEX(AC$14:AC$18,MATCH($E177,$AB$14:$AB$18,0)),
IF($M177="Market",0,IF($L177="HUD FMR",INDEX('Data - Reference'!$B$31:$G$31,MATCH($E177,'Data - Reference'!$B$9:$G$9,0)),INDEX('Data - Reference'!$B$9:$G$31,MATCH($K177,'Data - Reference'!$B$9:$B$31,0),MATCH($E177,'Data - Reference'!$B$9:$G$9,0))))),0)</f>
        <v>0</v>
      </c>
      <c r="Y177" s="71">
        <f>IFERROR(IF(INDEX(AD$14:AD$18,MATCH($E177,$AB$14:$AB$18,0))&lt;&gt;0,INDEX(AD$14:AD$18,MATCH($E177,$AB$14:$AB$18,0)),
IF($K177="None - Market",0,-INDEX('Data - Reference'!$B$32:$G$32,MATCH($E177,'Data - Reference'!$B$9:$G$9,0)))),0)</f>
        <v>0</v>
      </c>
      <c r="Z177" s="74">
        <f t="shared" si="48"/>
        <v>0</v>
      </c>
      <c r="AA177" s="67">
        <f t="shared" si="40"/>
        <v>0</v>
      </c>
      <c r="AB177" s="97">
        <f t="shared" si="41"/>
        <v>0</v>
      </c>
      <c r="AC177" s="82">
        <f t="shared" si="5"/>
        <v>0</v>
      </c>
      <c r="AD177" s="83">
        <f t="shared" si="42"/>
        <v>0</v>
      </c>
      <c r="AE177" s="97">
        <f t="shared" si="43"/>
        <v>0</v>
      </c>
      <c r="AF177" s="415" t="str">
        <f t="shared" si="49"/>
        <v>NA</v>
      </c>
      <c r="AG177" s="420" t="str">
        <f t="shared" si="44"/>
        <v>NA</v>
      </c>
      <c r="AH177" s="420" t="str">
        <f t="shared" si="45"/>
        <v>NA</v>
      </c>
      <c r="AI177" s="417" t="str">
        <f t="shared" si="46"/>
        <v>NA</v>
      </c>
      <c r="AJ177" s="417" t="str">
        <f t="shared" si="47"/>
        <v>NA</v>
      </c>
      <c r="AK177" s="524" t="str">
        <f>IFERROR(INDEX('Legacy Resident Reference'!R:R,MATCH('Unit Summary - Rent Roll'!AJ177,'Legacy Resident Reference'!P:P,0)),"NA")</f>
        <v>NA</v>
      </c>
    </row>
    <row r="178" spans="2:37" ht="13.8" hidden="1" outlineLevel="1" x14ac:dyDescent="0.3">
      <c r="B178" s="236">
        <v>152</v>
      </c>
      <c r="C178" s="580" t="s">
        <v>143</v>
      </c>
      <c r="D178" s="581"/>
      <c r="E178" s="186" t="s">
        <v>139</v>
      </c>
      <c r="F178" s="187">
        <v>0</v>
      </c>
      <c r="G178" s="239" t="s">
        <v>85</v>
      </c>
      <c r="H178" s="243">
        <v>0</v>
      </c>
      <c r="I178" s="373">
        <f t="shared" si="35"/>
        <v>0</v>
      </c>
      <c r="J178" s="250" t="s">
        <v>139</v>
      </c>
      <c r="K178" s="508" t="s">
        <v>139</v>
      </c>
      <c r="L178" s="399" t="s">
        <v>139</v>
      </c>
      <c r="M178" s="403">
        <v>0</v>
      </c>
      <c r="N178" s="282" t="s">
        <v>139</v>
      </c>
      <c r="O178" s="302" t="str">
        <f>IF(OR(M178=0,N178="NA"),"NA",IFERROR(INDEX('Data - Reference'!$B$37:$B$50,MATCH('Unit Summary - Rent Roll'!$M178,INDEX('Data - Reference'!$B$37:$J$50,,MATCH('Unit Summary - Rent Roll'!$N178,'Data - Reference'!$B$37:$J$37,0)),-1),1),"NA"))</f>
        <v>NA</v>
      </c>
      <c r="P178" s="239" t="s">
        <v>85</v>
      </c>
      <c r="Q178" s="239" t="s">
        <v>85</v>
      </c>
      <c r="R178" s="188">
        <v>0</v>
      </c>
      <c r="S178" s="364">
        <f t="shared" si="36"/>
        <v>0</v>
      </c>
      <c r="T178" s="97">
        <f t="shared" si="37"/>
        <v>0</v>
      </c>
      <c r="U178" s="188">
        <v>0</v>
      </c>
      <c r="V178" s="364">
        <f t="shared" si="38"/>
        <v>0</v>
      </c>
      <c r="W178" s="97">
        <f t="shared" si="39"/>
        <v>0</v>
      </c>
      <c r="X178" s="71">
        <f>IFERROR(IF(INDEX(AC$14:AC$18,MATCH($E178,$AB$14:$AB$18,0))&lt;&gt;0,INDEX(AC$14:AC$18,MATCH($E178,$AB$14:$AB$18,0)),
IF($M178="Market",0,IF($L178="HUD FMR",INDEX('Data - Reference'!$B$31:$G$31,MATCH($E178,'Data - Reference'!$B$9:$G$9,0)),INDEX('Data - Reference'!$B$9:$G$31,MATCH($K178,'Data - Reference'!$B$9:$B$31,0),MATCH($E178,'Data - Reference'!$B$9:$G$9,0))))),0)</f>
        <v>0</v>
      </c>
      <c r="Y178" s="71">
        <f>IFERROR(IF(INDEX(AD$14:AD$18,MATCH($E178,$AB$14:$AB$18,0))&lt;&gt;0,INDEX(AD$14:AD$18,MATCH($E178,$AB$14:$AB$18,0)),
IF($K178="None - Market",0,-INDEX('Data - Reference'!$B$32:$G$32,MATCH($E178,'Data - Reference'!$B$9:$G$9,0)))),0)</f>
        <v>0</v>
      </c>
      <c r="Z178" s="74">
        <f t="shared" si="48"/>
        <v>0</v>
      </c>
      <c r="AA178" s="67">
        <f t="shared" si="40"/>
        <v>0</v>
      </c>
      <c r="AB178" s="97">
        <f t="shared" si="41"/>
        <v>0</v>
      </c>
      <c r="AC178" s="82">
        <f t="shared" si="5"/>
        <v>0</v>
      </c>
      <c r="AD178" s="83">
        <f t="shared" si="42"/>
        <v>0</v>
      </c>
      <c r="AE178" s="97">
        <f t="shared" si="43"/>
        <v>0</v>
      </c>
      <c r="AF178" s="415" t="str">
        <f t="shared" si="49"/>
        <v>NA</v>
      </c>
      <c r="AG178" s="420" t="str">
        <f t="shared" si="44"/>
        <v>NA</v>
      </c>
      <c r="AH178" s="420" t="str">
        <f t="shared" si="45"/>
        <v>NA</v>
      </c>
      <c r="AI178" s="417" t="str">
        <f t="shared" si="46"/>
        <v>NA</v>
      </c>
      <c r="AJ178" s="417" t="str">
        <f t="shared" si="47"/>
        <v>NA</v>
      </c>
      <c r="AK178" s="524" t="str">
        <f>IFERROR(INDEX('Legacy Resident Reference'!R:R,MATCH('Unit Summary - Rent Roll'!AJ178,'Legacy Resident Reference'!P:P,0)),"NA")</f>
        <v>NA</v>
      </c>
    </row>
    <row r="179" spans="2:37" ht="13.8" hidden="1" outlineLevel="1" x14ac:dyDescent="0.3">
      <c r="B179" s="236">
        <v>153</v>
      </c>
      <c r="C179" s="580" t="s">
        <v>143</v>
      </c>
      <c r="D179" s="581"/>
      <c r="E179" s="186" t="s">
        <v>139</v>
      </c>
      <c r="F179" s="187">
        <v>0</v>
      </c>
      <c r="G179" s="239" t="s">
        <v>85</v>
      </c>
      <c r="H179" s="243">
        <v>0</v>
      </c>
      <c r="I179" s="373">
        <f t="shared" si="35"/>
        <v>0</v>
      </c>
      <c r="J179" s="250" t="s">
        <v>139</v>
      </c>
      <c r="K179" s="508" t="s">
        <v>139</v>
      </c>
      <c r="L179" s="399" t="s">
        <v>139</v>
      </c>
      <c r="M179" s="403">
        <v>0</v>
      </c>
      <c r="N179" s="282" t="s">
        <v>139</v>
      </c>
      <c r="O179" s="302" t="str">
        <f>IF(OR(M179=0,N179="NA"),"NA",IFERROR(INDEX('Data - Reference'!$B$37:$B$50,MATCH('Unit Summary - Rent Roll'!$M179,INDEX('Data - Reference'!$B$37:$J$50,,MATCH('Unit Summary - Rent Roll'!$N179,'Data - Reference'!$B$37:$J$37,0)),-1),1),"NA"))</f>
        <v>NA</v>
      </c>
      <c r="P179" s="239" t="s">
        <v>85</v>
      </c>
      <c r="Q179" s="239" t="s">
        <v>85</v>
      </c>
      <c r="R179" s="188">
        <v>0</v>
      </c>
      <c r="S179" s="364">
        <f t="shared" si="36"/>
        <v>0</v>
      </c>
      <c r="T179" s="97">
        <f t="shared" si="37"/>
        <v>0</v>
      </c>
      <c r="U179" s="188">
        <v>0</v>
      </c>
      <c r="V179" s="364">
        <f t="shared" si="38"/>
        <v>0</v>
      </c>
      <c r="W179" s="97">
        <f t="shared" si="39"/>
        <v>0</v>
      </c>
      <c r="X179" s="71">
        <f>IFERROR(IF(INDEX(AC$14:AC$18,MATCH($E179,$AB$14:$AB$18,0))&lt;&gt;0,INDEX(AC$14:AC$18,MATCH($E179,$AB$14:$AB$18,0)),
IF($M179="Market",0,IF($L179="HUD FMR",INDEX('Data - Reference'!$B$31:$G$31,MATCH($E179,'Data - Reference'!$B$9:$G$9,0)),INDEX('Data - Reference'!$B$9:$G$31,MATCH($K179,'Data - Reference'!$B$9:$B$31,0),MATCH($E179,'Data - Reference'!$B$9:$G$9,0))))),0)</f>
        <v>0</v>
      </c>
      <c r="Y179" s="71">
        <f>IFERROR(IF(INDEX(AD$14:AD$18,MATCH($E179,$AB$14:$AB$18,0))&lt;&gt;0,INDEX(AD$14:AD$18,MATCH($E179,$AB$14:$AB$18,0)),
IF($K179="None - Market",0,-INDEX('Data - Reference'!$B$32:$G$32,MATCH($E179,'Data - Reference'!$B$9:$G$9,0)))),0)</f>
        <v>0</v>
      </c>
      <c r="Z179" s="74">
        <f t="shared" si="48"/>
        <v>0</v>
      </c>
      <c r="AA179" s="67">
        <f t="shared" si="40"/>
        <v>0</v>
      </c>
      <c r="AB179" s="97">
        <f t="shared" si="41"/>
        <v>0</v>
      </c>
      <c r="AC179" s="82">
        <f t="shared" si="5"/>
        <v>0</v>
      </c>
      <c r="AD179" s="83">
        <f t="shared" si="42"/>
        <v>0</v>
      </c>
      <c r="AE179" s="97">
        <f t="shared" si="43"/>
        <v>0</v>
      </c>
      <c r="AF179" s="415" t="str">
        <f t="shared" si="49"/>
        <v>NA</v>
      </c>
      <c r="AG179" s="420" t="str">
        <f t="shared" si="44"/>
        <v>NA</v>
      </c>
      <c r="AH179" s="420" t="str">
        <f t="shared" si="45"/>
        <v>NA</v>
      </c>
      <c r="AI179" s="417" t="str">
        <f t="shared" si="46"/>
        <v>NA</v>
      </c>
      <c r="AJ179" s="417" t="str">
        <f t="shared" si="47"/>
        <v>NA</v>
      </c>
      <c r="AK179" s="524" t="str">
        <f>IFERROR(INDEX('Legacy Resident Reference'!R:R,MATCH('Unit Summary - Rent Roll'!AJ179,'Legacy Resident Reference'!P:P,0)),"NA")</f>
        <v>NA</v>
      </c>
    </row>
    <row r="180" spans="2:37" ht="13.8" hidden="1" outlineLevel="1" x14ac:dyDescent="0.3">
      <c r="B180" s="236">
        <v>154</v>
      </c>
      <c r="C180" s="580" t="s">
        <v>143</v>
      </c>
      <c r="D180" s="581"/>
      <c r="E180" s="186" t="s">
        <v>139</v>
      </c>
      <c r="F180" s="187">
        <v>0</v>
      </c>
      <c r="G180" s="239" t="s">
        <v>85</v>
      </c>
      <c r="H180" s="243">
        <v>0</v>
      </c>
      <c r="I180" s="373">
        <f t="shared" si="35"/>
        <v>0</v>
      </c>
      <c r="J180" s="250" t="s">
        <v>139</v>
      </c>
      <c r="K180" s="508" t="s">
        <v>139</v>
      </c>
      <c r="L180" s="399" t="s">
        <v>139</v>
      </c>
      <c r="M180" s="403">
        <v>0</v>
      </c>
      <c r="N180" s="282" t="s">
        <v>139</v>
      </c>
      <c r="O180" s="302" t="str">
        <f>IF(OR(M180=0,N180="NA"),"NA",IFERROR(INDEX('Data - Reference'!$B$37:$B$50,MATCH('Unit Summary - Rent Roll'!$M180,INDEX('Data - Reference'!$B$37:$J$50,,MATCH('Unit Summary - Rent Roll'!$N180,'Data - Reference'!$B$37:$J$37,0)),-1),1),"NA"))</f>
        <v>NA</v>
      </c>
      <c r="P180" s="239" t="s">
        <v>85</v>
      </c>
      <c r="Q180" s="239" t="s">
        <v>85</v>
      </c>
      <c r="R180" s="188">
        <v>0</v>
      </c>
      <c r="S180" s="364">
        <f t="shared" si="36"/>
        <v>0</v>
      </c>
      <c r="T180" s="97">
        <f t="shared" si="37"/>
        <v>0</v>
      </c>
      <c r="U180" s="188">
        <v>0</v>
      </c>
      <c r="V180" s="364">
        <f t="shared" si="38"/>
        <v>0</v>
      </c>
      <c r="W180" s="97">
        <f t="shared" si="39"/>
        <v>0</v>
      </c>
      <c r="X180" s="71">
        <f>IFERROR(IF(INDEX(AC$14:AC$18,MATCH($E180,$AB$14:$AB$18,0))&lt;&gt;0,INDEX(AC$14:AC$18,MATCH($E180,$AB$14:$AB$18,0)),
IF($M180="Market",0,IF($L180="HUD FMR",INDEX('Data - Reference'!$B$31:$G$31,MATCH($E180,'Data - Reference'!$B$9:$G$9,0)),INDEX('Data - Reference'!$B$9:$G$31,MATCH($K180,'Data - Reference'!$B$9:$B$31,0),MATCH($E180,'Data - Reference'!$B$9:$G$9,0))))),0)</f>
        <v>0</v>
      </c>
      <c r="Y180" s="71">
        <f>IFERROR(IF(INDEX(AD$14:AD$18,MATCH($E180,$AB$14:$AB$18,0))&lt;&gt;0,INDEX(AD$14:AD$18,MATCH($E180,$AB$14:$AB$18,0)),
IF($K180="None - Market",0,-INDEX('Data - Reference'!$B$32:$G$32,MATCH($E180,'Data - Reference'!$B$9:$G$9,0)))),0)</f>
        <v>0</v>
      </c>
      <c r="Z180" s="74">
        <f t="shared" si="48"/>
        <v>0</v>
      </c>
      <c r="AA180" s="67">
        <f t="shared" si="40"/>
        <v>0</v>
      </c>
      <c r="AB180" s="97">
        <f t="shared" si="41"/>
        <v>0</v>
      </c>
      <c r="AC180" s="82">
        <f t="shared" si="5"/>
        <v>0</v>
      </c>
      <c r="AD180" s="83">
        <f t="shared" si="42"/>
        <v>0</v>
      </c>
      <c r="AE180" s="97">
        <f t="shared" si="43"/>
        <v>0</v>
      </c>
      <c r="AF180" s="415" t="str">
        <f t="shared" si="49"/>
        <v>NA</v>
      </c>
      <c r="AG180" s="420" t="str">
        <f t="shared" si="44"/>
        <v>NA</v>
      </c>
      <c r="AH180" s="420" t="str">
        <f t="shared" si="45"/>
        <v>NA</v>
      </c>
      <c r="AI180" s="417" t="str">
        <f t="shared" si="46"/>
        <v>NA</v>
      </c>
      <c r="AJ180" s="417" t="str">
        <f t="shared" si="47"/>
        <v>NA</v>
      </c>
      <c r="AK180" s="524" t="str">
        <f>IFERROR(INDEX('Legacy Resident Reference'!R:R,MATCH('Unit Summary - Rent Roll'!AJ180,'Legacy Resident Reference'!P:P,0)),"NA")</f>
        <v>NA</v>
      </c>
    </row>
    <row r="181" spans="2:37" ht="13.8" hidden="1" outlineLevel="1" x14ac:dyDescent="0.3">
      <c r="B181" s="236">
        <v>155</v>
      </c>
      <c r="C181" s="580" t="s">
        <v>143</v>
      </c>
      <c r="D181" s="581"/>
      <c r="E181" s="186" t="s">
        <v>139</v>
      </c>
      <c r="F181" s="187">
        <v>0</v>
      </c>
      <c r="G181" s="239" t="s">
        <v>85</v>
      </c>
      <c r="H181" s="243">
        <v>0</v>
      </c>
      <c r="I181" s="373">
        <f t="shared" si="35"/>
        <v>0</v>
      </c>
      <c r="J181" s="250" t="s">
        <v>139</v>
      </c>
      <c r="K181" s="508" t="s">
        <v>139</v>
      </c>
      <c r="L181" s="399" t="s">
        <v>139</v>
      </c>
      <c r="M181" s="403">
        <v>0</v>
      </c>
      <c r="N181" s="282" t="s">
        <v>139</v>
      </c>
      <c r="O181" s="302" t="str">
        <f>IF(OR(M181=0,N181="NA"),"NA",IFERROR(INDEX('Data - Reference'!$B$37:$B$50,MATCH('Unit Summary - Rent Roll'!$M181,INDEX('Data - Reference'!$B$37:$J$50,,MATCH('Unit Summary - Rent Roll'!$N181,'Data - Reference'!$B$37:$J$37,0)),-1),1),"NA"))</f>
        <v>NA</v>
      </c>
      <c r="P181" s="239" t="s">
        <v>85</v>
      </c>
      <c r="Q181" s="239" t="s">
        <v>85</v>
      </c>
      <c r="R181" s="188">
        <v>0</v>
      </c>
      <c r="S181" s="364">
        <f t="shared" si="36"/>
        <v>0</v>
      </c>
      <c r="T181" s="97">
        <f t="shared" si="37"/>
        <v>0</v>
      </c>
      <c r="U181" s="188">
        <v>0</v>
      </c>
      <c r="V181" s="364">
        <f t="shared" si="38"/>
        <v>0</v>
      </c>
      <c r="W181" s="97">
        <f t="shared" si="39"/>
        <v>0</v>
      </c>
      <c r="X181" s="71">
        <f>IFERROR(IF(INDEX(AC$14:AC$18,MATCH($E181,$AB$14:$AB$18,0))&lt;&gt;0,INDEX(AC$14:AC$18,MATCH($E181,$AB$14:$AB$18,0)),
IF($M181="Market",0,IF($L181="HUD FMR",INDEX('Data - Reference'!$B$31:$G$31,MATCH($E181,'Data - Reference'!$B$9:$G$9,0)),INDEX('Data - Reference'!$B$9:$G$31,MATCH($K181,'Data - Reference'!$B$9:$B$31,0),MATCH($E181,'Data - Reference'!$B$9:$G$9,0))))),0)</f>
        <v>0</v>
      </c>
      <c r="Y181" s="71">
        <f>IFERROR(IF(INDEX(AD$14:AD$18,MATCH($E181,$AB$14:$AB$18,0))&lt;&gt;0,INDEX(AD$14:AD$18,MATCH($E181,$AB$14:$AB$18,0)),
IF($K181="None - Market",0,-INDEX('Data - Reference'!$B$32:$G$32,MATCH($E181,'Data - Reference'!$B$9:$G$9,0)))),0)</f>
        <v>0</v>
      </c>
      <c r="Z181" s="74">
        <f t="shared" si="48"/>
        <v>0</v>
      </c>
      <c r="AA181" s="67">
        <f t="shared" si="40"/>
        <v>0</v>
      </c>
      <c r="AB181" s="97">
        <f t="shared" si="41"/>
        <v>0</v>
      </c>
      <c r="AC181" s="82">
        <f t="shared" si="5"/>
        <v>0</v>
      </c>
      <c r="AD181" s="83">
        <f t="shared" si="42"/>
        <v>0</v>
      </c>
      <c r="AE181" s="97">
        <f t="shared" si="43"/>
        <v>0</v>
      </c>
      <c r="AF181" s="415" t="str">
        <f t="shared" si="49"/>
        <v>NA</v>
      </c>
      <c r="AG181" s="420" t="str">
        <f t="shared" si="44"/>
        <v>NA</v>
      </c>
      <c r="AH181" s="420" t="str">
        <f t="shared" si="45"/>
        <v>NA</v>
      </c>
      <c r="AI181" s="417" t="str">
        <f t="shared" si="46"/>
        <v>NA</v>
      </c>
      <c r="AJ181" s="417" t="str">
        <f t="shared" si="47"/>
        <v>NA</v>
      </c>
      <c r="AK181" s="524" t="str">
        <f>IFERROR(INDEX('Legacy Resident Reference'!R:R,MATCH('Unit Summary - Rent Roll'!AJ181,'Legacy Resident Reference'!P:P,0)),"NA")</f>
        <v>NA</v>
      </c>
    </row>
    <row r="182" spans="2:37" ht="13.8" hidden="1" outlineLevel="1" x14ac:dyDescent="0.3">
      <c r="B182" s="236">
        <v>156</v>
      </c>
      <c r="C182" s="580" t="s">
        <v>143</v>
      </c>
      <c r="D182" s="581"/>
      <c r="E182" s="186" t="s">
        <v>139</v>
      </c>
      <c r="F182" s="187">
        <v>0</v>
      </c>
      <c r="G182" s="239" t="s">
        <v>85</v>
      </c>
      <c r="H182" s="243">
        <v>0</v>
      </c>
      <c r="I182" s="373">
        <f t="shared" si="35"/>
        <v>0</v>
      </c>
      <c r="J182" s="250" t="s">
        <v>139</v>
      </c>
      <c r="K182" s="508" t="s">
        <v>139</v>
      </c>
      <c r="L182" s="399" t="s">
        <v>139</v>
      </c>
      <c r="M182" s="403">
        <v>0</v>
      </c>
      <c r="N182" s="282" t="s">
        <v>139</v>
      </c>
      <c r="O182" s="302" t="str">
        <f>IF(OR(M182=0,N182="NA"),"NA",IFERROR(INDEX('Data - Reference'!$B$37:$B$50,MATCH('Unit Summary - Rent Roll'!$M182,INDEX('Data - Reference'!$B$37:$J$50,,MATCH('Unit Summary - Rent Roll'!$N182,'Data - Reference'!$B$37:$J$37,0)),-1),1),"NA"))</f>
        <v>NA</v>
      </c>
      <c r="P182" s="239" t="s">
        <v>85</v>
      </c>
      <c r="Q182" s="239" t="s">
        <v>85</v>
      </c>
      <c r="R182" s="188">
        <v>0</v>
      </c>
      <c r="S182" s="364">
        <f t="shared" si="36"/>
        <v>0</v>
      </c>
      <c r="T182" s="97">
        <f t="shared" si="37"/>
        <v>0</v>
      </c>
      <c r="U182" s="188">
        <v>0</v>
      </c>
      <c r="V182" s="364">
        <f t="shared" si="38"/>
        <v>0</v>
      </c>
      <c r="W182" s="97">
        <f t="shared" si="39"/>
        <v>0</v>
      </c>
      <c r="X182" s="71">
        <f>IFERROR(IF(INDEX(AC$14:AC$18,MATCH($E182,$AB$14:$AB$18,0))&lt;&gt;0,INDEX(AC$14:AC$18,MATCH($E182,$AB$14:$AB$18,0)),
IF($M182="Market",0,IF($L182="HUD FMR",INDEX('Data - Reference'!$B$31:$G$31,MATCH($E182,'Data - Reference'!$B$9:$G$9,0)),INDEX('Data - Reference'!$B$9:$G$31,MATCH($K182,'Data - Reference'!$B$9:$B$31,0),MATCH($E182,'Data - Reference'!$B$9:$G$9,0))))),0)</f>
        <v>0</v>
      </c>
      <c r="Y182" s="71">
        <f>IFERROR(IF(INDEX(AD$14:AD$18,MATCH($E182,$AB$14:$AB$18,0))&lt;&gt;0,INDEX(AD$14:AD$18,MATCH($E182,$AB$14:$AB$18,0)),
IF($K182="None - Market",0,-INDEX('Data - Reference'!$B$32:$G$32,MATCH($E182,'Data - Reference'!$B$9:$G$9,0)))),0)</f>
        <v>0</v>
      </c>
      <c r="Z182" s="74">
        <f t="shared" si="48"/>
        <v>0</v>
      </c>
      <c r="AA182" s="67">
        <f t="shared" si="40"/>
        <v>0</v>
      </c>
      <c r="AB182" s="97">
        <f t="shared" si="41"/>
        <v>0</v>
      </c>
      <c r="AC182" s="82">
        <f t="shared" si="5"/>
        <v>0</v>
      </c>
      <c r="AD182" s="83">
        <f t="shared" si="42"/>
        <v>0</v>
      </c>
      <c r="AE182" s="97">
        <f t="shared" si="43"/>
        <v>0</v>
      </c>
      <c r="AF182" s="415" t="str">
        <f t="shared" si="49"/>
        <v>NA</v>
      </c>
      <c r="AG182" s="420" t="str">
        <f t="shared" si="44"/>
        <v>NA</v>
      </c>
      <c r="AH182" s="420" t="str">
        <f t="shared" si="45"/>
        <v>NA</v>
      </c>
      <c r="AI182" s="417" t="str">
        <f t="shared" si="46"/>
        <v>NA</v>
      </c>
      <c r="AJ182" s="417" t="str">
        <f t="shared" si="47"/>
        <v>NA</v>
      </c>
      <c r="AK182" s="524" t="str">
        <f>IFERROR(INDEX('Legacy Resident Reference'!R:R,MATCH('Unit Summary - Rent Roll'!AJ182,'Legacy Resident Reference'!P:P,0)),"NA")</f>
        <v>NA</v>
      </c>
    </row>
    <row r="183" spans="2:37" ht="13.8" hidden="1" outlineLevel="1" x14ac:dyDescent="0.3">
      <c r="B183" s="236">
        <v>157</v>
      </c>
      <c r="C183" s="580" t="s">
        <v>143</v>
      </c>
      <c r="D183" s="581"/>
      <c r="E183" s="186" t="s">
        <v>139</v>
      </c>
      <c r="F183" s="187">
        <v>0</v>
      </c>
      <c r="G183" s="239" t="s">
        <v>85</v>
      </c>
      <c r="H183" s="243">
        <v>0</v>
      </c>
      <c r="I183" s="373">
        <f t="shared" si="35"/>
        <v>0</v>
      </c>
      <c r="J183" s="250" t="s">
        <v>139</v>
      </c>
      <c r="K183" s="508" t="s">
        <v>139</v>
      </c>
      <c r="L183" s="399" t="s">
        <v>139</v>
      </c>
      <c r="M183" s="403">
        <v>0</v>
      </c>
      <c r="N183" s="282" t="s">
        <v>139</v>
      </c>
      <c r="O183" s="302" t="str">
        <f>IF(OR(M183=0,N183="NA"),"NA",IFERROR(INDEX('Data - Reference'!$B$37:$B$50,MATCH('Unit Summary - Rent Roll'!$M183,INDEX('Data - Reference'!$B$37:$J$50,,MATCH('Unit Summary - Rent Roll'!$N183,'Data - Reference'!$B$37:$J$37,0)),-1),1),"NA"))</f>
        <v>NA</v>
      </c>
      <c r="P183" s="239" t="s">
        <v>85</v>
      </c>
      <c r="Q183" s="239" t="s">
        <v>85</v>
      </c>
      <c r="R183" s="188">
        <v>0</v>
      </c>
      <c r="S183" s="364">
        <f t="shared" si="36"/>
        <v>0</v>
      </c>
      <c r="T183" s="97">
        <f t="shared" si="37"/>
        <v>0</v>
      </c>
      <c r="U183" s="188">
        <v>0</v>
      </c>
      <c r="V183" s="364">
        <f t="shared" si="38"/>
        <v>0</v>
      </c>
      <c r="W183" s="97">
        <f t="shared" si="39"/>
        <v>0</v>
      </c>
      <c r="X183" s="71">
        <f>IFERROR(IF(INDEX(AC$14:AC$18,MATCH($E183,$AB$14:$AB$18,0))&lt;&gt;0,INDEX(AC$14:AC$18,MATCH($E183,$AB$14:$AB$18,0)),
IF($M183="Market",0,IF($L183="HUD FMR",INDEX('Data - Reference'!$B$31:$G$31,MATCH($E183,'Data - Reference'!$B$9:$G$9,0)),INDEX('Data - Reference'!$B$9:$G$31,MATCH($K183,'Data - Reference'!$B$9:$B$31,0),MATCH($E183,'Data - Reference'!$B$9:$G$9,0))))),0)</f>
        <v>0</v>
      </c>
      <c r="Y183" s="71">
        <f>IFERROR(IF(INDEX(AD$14:AD$18,MATCH($E183,$AB$14:$AB$18,0))&lt;&gt;0,INDEX(AD$14:AD$18,MATCH($E183,$AB$14:$AB$18,0)),
IF($K183="None - Market",0,-INDEX('Data - Reference'!$B$32:$G$32,MATCH($E183,'Data - Reference'!$B$9:$G$9,0)))),0)</f>
        <v>0</v>
      </c>
      <c r="Z183" s="74">
        <f t="shared" si="48"/>
        <v>0</v>
      </c>
      <c r="AA183" s="67">
        <f t="shared" si="40"/>
        <v>0</v>
      </c>
      <c r="AB183" s="97">
        <f t="shared" si="41"/>
        <v>0</v>
      </c>
      <c r="AC183" s="82">
        <f t="shared" si="5"/>
        <v>0</v>
      </c>
      <c r="AD183" s="83">
        <f t="shared" si="42"/>
        <v>0</v>
      </c>
      <c r="AE183" s="97">
        <f t="shared" si="43"/>
        <v>0</v>
      </c>
      <c r="AF183" s="415" t="str">
        <f t="shared" si="49"/>
        <v>NA</v>
      </c>
      <c r="AG183" s="420" t="str">
        <f t="shared" si="44"/>
        <v>NA</v>
      </c>
      <c r="AH183" s="420" t="str">
        <f t="shared" si="45"/>
        <v>NA</v>
      </c>
      <c r="AI183" s="417" t="str">
        <f t="shared" si="46"/>
        <v>NA</v>
      </c>
      <c r="AJ183" s="417" t="str">
        <f t="shared" si="47"/>
        <v>NA</v>
      </c>
      <c r="AK183" s="524" t="str">
        <f>IFERROR(INDEX('Legacy Resident Reference'!R:R,MATCH('Unit Summary - Rent Roll'!AJ183,'Legacy Resident Reference'!P:P,0)),"NA")</f>
        <v>NA</v>
      </c>
    </row>
    <row r="184" spans="2:37" ht="13.8" hidden="1" outlineLevel="1" x14ac:dyDescent="0.3">
      <c r="B184" s="236">
        <v>158</v>
      </c>
      <c r="C184" s="580" t="s">
        <v>143</v>
      </c>
      <c r="D184" s="581"/>
      <c r="E184" s="186" t="s">
        <v>139</v>
      </c>
      <c r="F184" s="187">
        <v>0</v>
      </c>
      <c r="G184" s="239" t="s">
        <v>85</v>
      </c>
      <c r="H184" s="243">
        <v>0</v>
      </c>
      <c r="I184" s="373">
        <f t="shared" si="35"/>
        <v>0</v>
      </c>
      <c r="J184" s="250" t="s">
        <v>139</v>
      </c>
      <c r="K184" s="508" t="s">
        <v>139</v>
      </c>
      <c r="L184" s="399" t="s">
        <v>139</v>
      </c>
      <c r="M184" s="403">
        <v>0</v>
      </c>
      <c r="N184" s="282" t="s">
        <v>139</v>
      </c>
      <c r="O184" s="302" t="str">
        <f>IF(OR(M184=0,N184="NA"),"NA",IFERROR(INDEX('Data - Reference'!$B$37:$B$50,MATCH('Unit Summary - Rent Roll'!$M184,INDEX('Data - Reference'!$B$37:$J$50,,MATCH('Unit Summary - Rent Roll'!$N184,'Data - Reference'!$B$37:$J$37,0)),-1),1),"NA"))</f>
        <v>NA</v>
      </c>
      <c r="P184" s="239" t="s">
        <v>85</v>
      </c>
      <c r="Q184" s="239" t="s">
        <v>85</v>
      </c>
      <c r="R184" s="188">
        <v>0</v>
      </c>
      <c r="S184" s="364">
        <f t="shared" si="36"/>
        <v>0</v>
      </c>
      <c r="T184" s="97">
        <f t="shared" si="37"/>
        <v>0</v>
      </c>
      <c r="U184" s="188">
        <v>0</v>
      </c>
      <c r="V184" s="364">
        <f t="shared" si="38"/>
        <v>0</v>
      </c>
      <c r="W184" s="97">
        <f t="shared" si="39"/>
        <v>0</v>
      </c>
      <c r="X184" s="71">
        <f>IFERROR(IF(INDEX(AC$14:AC$18,MATCH($E184,$AB$14:$AB$18,0))&lt;&gt;0,INDEX(AC$14:AC$18,MATCH($E184,$AB$14:$AB$18,0)),
IF($M184="Market",0,IF($L184="HUD FMR",INDEX('Data - Reference'!$B$31:$G$31,MATCH($E184,'Data - Reference'!$B$9:$G$9,0)),INDEX('Data - Reference'!$B$9:$G$31,MATCH($K184,'Data - Reference'!$B$9:$B$31,0),MATCH($E184,'Data - Reference'!$B$9:$G$9,0))))),0)</f>
        <v>0</v>
      </c>
      <c r="Y184" s="71">
        <f>IFERROR(IF(INDEX(AD$14:AD$18,MATCH($E184,$AB$14:$AB$18,0))&lt;&gt;0,INDEX(AD$14:AD$18,MATCH($E184,$AB$14:$AB$18,0)),
IF($K184="None - Market",0,-INDEX('Data - Reference'!$B$32:$G$32,MATCH($E184,'Data - Reference'!$B$9:$G$9,0)))),0)</f>
        <v>0</v>
      </c>
      <c r="Z184" s="74">
        <f t="shared" si="48"/>
        <v>0</v>
      </c>
      <c r="AA184" s="67">
        <f t="shared" si="40"/>
        <v>0</v>
      </c>
      <c r="AB184" s="97">
        <f t="shared" si="41"/>
        <v>0</v>
      </c>
      <c r="AC184" s="82">
        <f t="shared" si="5"/>
        <v>0</v>
      </c>
      <c r="AD184" s="83">
        <f t="shared" si="42"/>
        <v>0</v>
      </c>
      <c r="AE184" s="97">
        <f t="shared" si="43"/>
        <v>0</v>
      </c>
      <c r="AF184" s="415" t="str">
        <f t="shared" si="49"/>
        <v>NA</v>
      </c>
      <c r="AG184" s="420" t="str">
        <f t="shared" si="44"/>
        <v>NA</v>
      </c>
      <c r="AH184" s="420" t="str">
        <f t="shared" si="45"/>
        <v>NA</v>
      </c>
      <c r="AI184" s="417" t="str">
        <f t="shared" si="46"/>
        <v>NA</v>
      </c>
      <c r="AJ184" s="417" t="str">
        <f t="shared" si="47"/>
        <v>NA</v>
      </c>
      <c r="AK184" s="524" t="str">
        <f>IFERROR(INDEX('Legacy Resident Reference'!R:R,MATCH('Unit Summary - Rent Roll'!AJ184,'Legacy Resident Reference'!P:P,0)),"NA")</f>
        <v>NA</v>
      </c>
    </row>
    <row r="185" spans="2:37" ht="13.8" hidden="1" outlineLevel="1" x14ac:dyDescent="0.3">
      <c r="B185" s="236">
        <v>159</v>
      </c>
      <c r="C185" s="580" t="s">
        <v>143</v>
      </c>
      <c r="D185" s="581"/>
      <c r="E185" s="186" t="s">
        <v>139</v>
      </c>
      <c r="F185" s="187">
        <v>0</v>
      </c>
      <c r="G185" s="239" t="s">
        <v>85</v>
      </c>
      <c r="H185" s="243">
        <v>0</v>
      </c>
      <c r="I185" s="373">
        <f t="shared" si="35"/>
        <v>0</v>
      </c>
      <c r="J185" s="250" t="s">
        <v>139</v>
      </c>
      <c r="K185" s="508" t="s">
        <v>139</v>
      </c>
      <c r="L185" s="399" t="s">
        <v>139</v>
      </c>
      <c r="M185" s="403">
        <v>0</v>
      </c>
      <c r="N185" s="282" t="s">
        <v>139</v>
      </c>
      <c r="O185" s="302" t="str">
        <f>IF(OR(M185=0,N185="NA"),"NA",IFERROR(INDEX('Data - Reference'!$B$37:$B$50,MATCH('Unit Summary - Rent Roll'!$M185,INDEX('Data - Reference'!$B$37:$J$50,,MATCH('Unit Summary - Rent Roll'!$N185,'Data - Reference'!$B$37:$J$37,0)),-1),1),"NA"))</f>
        <v>NA</v>
      </c>
      <c r="P185" s="239" t="s">
        <v>85</v>
      </c>
      <c r="Q185" s="239" t="s">
        <v>85</v>
      </c>
      <c r="R185" s="188">
        <v>0</v>
      </c>
      <c r="S185" s="364">
        <f t="shared" si="36"/>
        <v>0</v>
      </c>
      <c r="T185" s="97">
        <f t="shared" si="37"/>
        <v>0</v>
      </c>
      <c r="U185" s="188">
        <v>0</v>
      </c>
      <c r="V185" s="364">
        <f t="shared" si="38"/>
        <v>0</v>
      </c>
      <c r="W185" s="97">
        <f t="shared" si="39"/>
        <v>0</v>
      </c>
      <c r="X185" s="71">
        <f>IFERROR(IF(INDEX(AC$14:AC$18,MATCH($E185,$AB$14:$AB$18,0))&lt;&gt;0,INDEX(AC$14:AC$18,MATCH($E185,$AB$14:$AB$18,0)),
IF($M185="Market",0,IF($L185="HUD FMR",INDEX('Data - Reference'!$B$31:$G$31,MATCH($E185,'Data - Reference'!$B$9:$G$9,0)),INDEX('Data - Reference'!$B$9:$G$31,MATCH($K185,'Data - Reference'!$B$9:$B$31,0),MATCH($E185,'Data - Reference'!$B$9:$G$9,0))))),0)</f>
        <v>0</v>
      </c>
      <c r="Y185" s="71">
        <f>IFERROR(IF(INDEX(AD$14:AD$18,MATCH($E185,$AB$14:$AB$18,0))&lt;&gt;0,INDEX(AD$14:AD$18,MATCH($E185,$AB$14:$AB$18,0)),
IF($K185="None - Market",0,-INDEX('Data - Reference'!$B$32:$G$32,MATCH($E185,'Data - Reference'!$B$9:$G$9,0)))),0)</f>
        <v>0</v>
      </c>
      <c r="Z185" s="74">
        <f t="shared" si="48"/>
        <v>0</v>
      </c>
      <c r="AA185" s="67">
        <f t="shared" si="40"/>
        <v>0</v>
      </c>
      <c r="AB185" s="97">
        <f t="shared" si="41"/>
        <v>0</v>
      </c>
      <c r="AC185" s="82">
        <f t="shared" si="5"/>
        <v>0</v>
      </c>
      <c r="AD185" s="83">
        <f t="shared" si="42"/>
        <v>0</v>
      </c>
      <c r="AE185" s="97">
        <f t="shared" si="43"/>
        <v>0</v>
      </c>
      <c r="AF185" s="415" t="str">
        <f t="shared" si="49"/>
        <v>NA</v>
      </c>
      <c r="AG185" s="420" t="str">
        <f t="shared" si="44"/>
        <v>NA</v>
      </c>
      <c r="AH185" s="420" t="str">
        <f t="shared" si="45"/>
        <v>NA</v>
      </c>
      <c r="AI185" s="417" t="str">
        <f t="shared" si="46"/>
        <v>NA</v>
      </c>
      <c r="AJ185" s="417" t="str">
        <f t="shared" si="47"/>
        <v>NA</v>
      </c>
      <c r="AK185" s="524" t="str">
        <f>IFERROR(INDEX('Legacy Resident Reference'!R:R,MATCH('Unit Summary - Rent Roll'!AJ185,'Legacy Resident Reference'!P:P,0)),"NA")</f>
        <v>NA</v>
      </c>
    </row>
    <row r="186" spans="2:37" ht="13.8" hidden="1" outlineLevel="1" x14ac:dyDescent="0.3">
      <c r="B186" s="236">
        <v>160</v>
      </c>
      <c r="C186" s="580" t="s">
        <v>143</v>
      </c>
      <c r="D186" s="581"/>
      <c r="E186" s="186" t="s">
        <v>139</v>
      </c>
      <c r="F186" s="187">
        <v>0</v>
      </c>
      <c r="G186" s="239" t="s">
        <v>85</v>
      </c>
      <c r="H186" s="243">
        <v>0</v>
      </c>
      <c r="I186" s="373">
        <f t="shared" si="35"/>
        <v>0</v>
      </c>
      <c r="J186" s="250" t="s">
        <v>139</v>
      </c>
      <c r="K186" s="508" t="s">
        <v>139</v>
      </c>
      <c r="L186" s="399" t="s">
        <v>139</v>
      </c>
      <c r="M186" s="403">
        <v>0</v>
      </c>
      <c r="N186" s="282" t="s">
        <v>139</v>
      </c>
      <c r="O186" s="302" t="str">
        <f>IF(OR(M186=0,N186="NA"),"NA",IFERROR(INDEX('Data - Reference'!$B$37:$B$50,MATCH('Unit Summary - Rent Roll'!$M186,INDEX('Data - Reference'!$B$37:$J$50,,MATCH('Unit Summary - Rent Roll'!$N186,'Data - Reference'!$B$37:$J$37,0)),-1),1),"NA"))</f>
        <v>NA</v>
      </c>
      <c r="P186" s="239" t="s">
        <v>85</v>
      </c>
      <c r="Q186" s="239" t="s">
        <v>85</v>
      </c>
      <c r="R186" s="188">
        <v>0</v>
      </c>
      <c r="S186" s="364">
        <f t="shared" si="36"/>
        <v>0</v>
      </c>
      <c r="T186" s="97">
        <f t="shared" si="37"/>
        <v>0</v>
      </c>
      <c r="U186" s="188">
        <v>0</v>
      </c>
      <c r="V186" s="364">
        <f t="shared" si="38"/>
        <v>0</v>
      </c>
      <c r="W186" s="97">
        <f t="shared" si="39"/>
        <v>0</v>
      </c>
      <c r="X186" s="71">
        <f>IFERROR(IF(INDEX(AC$14:AC$18,MATCH($E186,$AB$14:$AB$18,0))&lt;&gt;0,INDEX(AC$14:AC$18,MATCH($E186,$AB$14:$AB$18,0)),
IF($M186="Market",0,IF($L186="HUD FMR",INDEX('Data - Reference'!$B$31:$G$31,MATCH($E186,'Data - Reference'!$B$9:$G$9,0)),INDEX('Data - Reference'!$B$9:$G$31,MATCH($K186,'Data - Reference'!$B$9:$B$31,0),MATCH($E186,'Data - Reference'!$B$9:$G$9,0))))),0)</f>
        <v>0</v>
      </c>
      <c r="Y186" s="71">
        <f>IFERROR(IF(INDEX(AD$14:AD$18,MATCH($E186,$AB$14:$AB$18,0))&lt;&gt;0,INDEX(AD$14:AD$18,MATCH($E186,$AB$14:$AB$18,0)),
IF($K186="None - Market",0,-INDEX('Data - Reference'!$B$32:$G$32,MATCH($E186,'Data - Reference'!$B$9:$G$9,0)))),0)</f>
        <v>0</v>
      </c>
      <c r="Z186" s="74">
        <f t="shared" si="48"/>
        <v>0</v>
      </c>
      <c r="AA186" s="67">
        <f t="shared" si="40"/>
        <v>0</v>
      </c>
      <c r="AB186" s="97">
        <f t="shared" si="41"/>
        <v>0</v>
      </c>
      <c r="AC186" s="82">
        <f t="shared" si="5"/>
        <v>0</v>
      </c>
      <c r="AD186" s="83">
        <f t="shared" si="42"/>
        <v>0</v>
      </c>
      <c r="AE186" s="97">
        <f t="shared" si="43"/>
        <v>0</v>
      </c>
      <c r="AF186" s="415" t="str">
        <f t="shared" si="49"/>
        <v>NA</v>
      </c>
      <c r="AG186" s="420" t="str">
        <f t="shared" si="44"/>
        <v>NA</v>
      </c>
      <c r="AH186" s="420" t="str">
        <f t="shared" si="45"/>
        <v>NA</v>
      </c>
      <c r="AI186" s="417" t="str">
        <f t="shared" si="46"/>
        <v>NA</v>
      </c>
      <c r="AJ186" s="417" t="str">
        <f t="shared" si="47"/>
        <v>NA</v>
      </c>
      <c r="AK186" s="524" t="str">
        <f>IFERROR(INDEX('Legacy Resident Reference'!R:R,MATCH('Unit Summary - Rent Roll'!AJ186,'Legacy Resident Reference'!P:P,0)),"NA")</f>
        <v>NA</v>
      </c>
    </row>
    <row r="187" spans="2:37" ht="13.8" hidden="1" outlineLevel="1" x14ac:dyDescent="0.3">
      <c r="B187" s="236">
        <v>161</v>
      </c>
      <c r="C187" s="580" t="s">
        <v>143</v>
      </c>
      <c r="D187" s="581"/>
      <c r="E187" s="186" t="s">
        <v>139</v>
      </c>
      <c r="F187" s="187">
        <v>0</v>
      </c>
      <c r="G187" s="239" t="s">
        <v>85</v>
      </c>
      <c r="H187" s="243">
        <v>0</v>
      </c>
      <c r="I187" s="373">
        <f t="shared" si="35"/>
        <v>0</v>
      </c>
      <c r="J187" s="250" t="s">
        <v>139</v>
      </c>
      <c r="K187" s="508" t="s">
        <v>139</v>
      </c>
      <c r="L187" s="399" t="s">
        <v>139</v>
      </c>
      <c r="M187" s="403">
        <v>0</v>
      </c>
      <c r="N187" s="282" t="s">
        <v>139</v>
      </c>
      <c r="O187" s="302" t="str">
        <f>IF(OR(M187=0,N187="NA"),"NA",IFERROR(INDEX('Data - Reference'!$B$37:$B$50,MATCH('Unit Summary - Rent Roll'!$M187,INDEX('Data - Reference'!$B$37:$J$50,,MATCH('Unit Summary - Rent Roll'!$N187,'Data - Reference'!$B$37:$J$37,0)),-1),1),"NA"))</f>
        <v>NA</v>
      </c>
      <c r="P187" s="239" t="s">
        <v>85</v>
      </c>
      <c r="Q187" s="239" t="s">
        <v>85</v>
      </c>
      <c r="R187" s="188">
        <v>0</v>
      </c>
      <c r="S187" s="364">
        <f t="shared" si="36"/>
        <v>0</v>
      </c>
      <c r="T187" s="97">
        <f t="shared" si="37"/>
        <v>0</v>
      </c>
      <c r="U187" s="188">
        <v>0</v>
      </c>
      <c r="V187" s="364">
        <f t="shared" si="38"/>
        <v>0</v>
      </c>
      <c r="W187" s="97">
        <f t="shared" si="39"/>
        <v>0</v>
      </c>
      <c r="X187" s="71">
        <f>IFERROR(IF(INDEX(AC$14:AC$18,MATCH($E187,$AB$14:$AB$18,0))&lt;&gt;0,INDEX(AC$14:AC$18,MATCH($E187,$AB$14:$AB$18,0)),
IF($M187="Market",0,IF($L187="HUD FMR",INDEX('Data - Reference'!$B$31:$G$31,MATCH($E187,'Data - Reference'!$B$9:$G$9,0)),INDEX('Data - Reference'!$B$9:$G$31,MATCH($K187,'Data - Reference'!$B$9:$B$31,0),MATCH($E187,'Data - Reference'!$B$9:$G$9,0))))),0)</f>
        <v>0</v>
      </c>
      <c r="Y187" s="71">
        <f>IFERROR(IF(INDEX(AD$14:AD$18,MATCH($E187,$AB$14:$AB$18,0))&lt;&gt;0,INDEX(AD$14:AD$18,MATCH($E187,$AB$14:$AB$18,0)),
IF($K187="None - Market",0,-INDEX('Data - Reference'!$B$32:$G$32,MATCH($E187,'Data - Reference'!$B$9:$G$9,0)))),0)</f>
        <v>0</v>
      </c>
      <c r="Z187" s="74">
        <f t="shared" si="48"/>
        <v>0</v>
      </c>
      <c r="AA187" s="67">
        <f t="shared" si="40"/>
        <v>0</v>
      </c>
      <c r="AB187" s="97">
        <f t="shared" si="41"/>
        <v>0</v>
      </c>
      <c r="AC187" s="82">
        <f t="shared" si="5"/>
        <v>0</v>
      </c>
      <c r="AD187" s="83">
        <f t="shared" si="42"/>
        <v>0</v>
      </c>
      <c r="AE187" s="97">
        <f t="shared" si="43"/>
        <v>0</v>
      </c>
      <c r="AF187" s="415" t="str">
        <f t="shared" si="49"/>
        <v>NA</v>
      </c>
      <c r="AG187" s="420" t="str">
        <f t="shared" si="44"/>
        <v>NA</v>
      </c>
      <c r="AH187" s="420" t="str">
        <f t="shared" si="45"/>
        <v>NA</v>
      </c>
      <c r="AI187" s="417" t="str">
        <f t="shared" si="46"/>
        <v>NA</v>
      </c>
      <c r="AJ187" s="417" t="str">
        <f t="shared" si="47"/>
        <v>NA</v>
      </c>
      <c r="AK187" s="524" t="str">
        <f>IFERROR(INDEX('Legacy Resident Reference'!R:R,MATCH('Unit Summary - Rent Roll'!AJ187,'Legacy Resident Reference'!P:P,0)),"NA")</f>
        <v>NA</v>
      </c>
    </row>
    <row r="188" spans="2:37" ht="13.8" hidden="1" outlineLevel="1" x14ac:dyDescent="0.3">
      <c r="B188" s="236">
        <v>162</v>
      </c>
      <c r="C188" s="580" t="s">
        <v>143</v>
      </c>
      <c r="D188" s="581"/>
      <c r="E188" s="186" t="s">
        <v>139</v>
      </c>
      <c r="F188" s="187">
        <v>0</v>
      </c>
      <c r="G188" s="239" t="s">
        <v>85</v>
      </c>
      <c r="H188" s="243">
        <v>0</v>
      </c>
      <c r="I188" s="373">
        <f t="shared" si="35"/>
        <v>0</v>
      </c>
      <c r="J188" s="250" t="s">
        <v>139</v>
      </c>
      <c r="K188" s="508" t="s">
        <v>139</v>
      </c>
      <c r="L188" s="399" t="s">
        <v>139</v>
      </c>
      <c r="M188" s="403">
        <v>0</v>
      </c>
      <c r="N188" s="282" t="s">
        <v>139</v>
      </c>
      <c r="O188" s="302" t="str">
        <f>IF(OR(M188=0,N188="NA"),"NA",IFERROR(INDEX('Data - Reference'!$B$37:$B$50,MATCH('Unit Summary - Rent Roll'!$M188,INDEX('Data - Reference'!$B$37:$J$50,,MATCH('Unit Summary - Rent Roll'!$N188,'Data - Reference'!$B$37:$J$37,0)),-1),1),"NA"))</f>
        <v>NA</v>
      </c>
      <c r="P188" s="239" t="s">
        <v>85</v>
      </c>
      <c r="Q188" s="239" t="s">
        <v>85</v>
      </c>
      <c r="R188" s="188">
        <v>0</v>
      </c>
      <c r="S188" s="364">
        <f t="shared" si="36"/>
        <v>0</v>
      </c>
      <c r="T188" s="97">
        <f t="shared" si="37"/>
        <v>0</v>
      </c>
      <c r="U188" s="188">
        <v>0</v>
      </c>
      <c r="V188" s="364">
        <f t="shared" si="38"/>
        <v>0</v>
      </c>
      <c r="W188" s="97">
        <f t="shared" si="39"/>
        <v>0</v>
      </c>
      <c r="X188" s="71">
        <f>IFERROR(IF(INDEX(AC$14:AC$18,MATCH($E188,$AB$14:$AB$18,0))&lt;&gt;0,INDEX(AC$14:AC$18,MATCH($E188,$AB$14:$AB$18,0)),
IF($M188="Market",0,IF($L188="HUD FMR",INDEX('Data - Reference'!$B$31:$G$31,MATCH($E188,'Data - Reference'!$B$9:$G$9,0)),INDEX('Data - Reference'!$B$9:$G$31,MATCH($K188,'Data - Reference'!$B$9:$B$31,0),MATCH($E188,'Data - Reference'!$B$9:$G$9,0))))),0)</f>
        <v>0</v>
      </c>
      <c r="Y188" s="71">
        <f>IFERROR(IF(INDEX(AD$14:AD$18,MATCH($E188,$AB$14:$AB$18,0))&lt;&gt;0,INDEX(AD$14:AD$18,MATCH($E188,$AB$14:$AB$18,0)),
IF($K188="None - Market",0,-INDEX('Data - Reference'!$B$32:$G$32,MATCH($E188,'Data - Reference'!$B$9:$G$9,0)))),0)</f>
        <v>0</v>
      </c>
      <c r="Z188" s="74">
        <f t="shared" si="48"/>
        <v>0</v>
      </c>
      <c r="AA188" s="67">
        <f t="shared" si="40"/>
        <v>0</v>
      </c>
      <c r="AB188" s="97">
        <f t="shared" si="41"/>
        <v>0</v>
      </c>
      <c r="AC188" s="82">
        <f t="shared" si="5"/>
        <v>0</v>
      </c>
      <c r="AD188" s="83">
        <f t="shared" si="42"/>
        <v>0</v>
      </c>
      <c r="AE188" s="97">
        <f t="shared" si="43"/>
        <v>0</v>
      </c>
      <c r="AF188" s="415" t="str">
        <f t="shared" si="49"/>
        <v>NA</v>
      </c>
      <c r="AG188" s="420" t="str">
        <f t="shared" si="44"/>
        <v>NA</v>
      </c>
      <c r="AH188" s="420" t="str">
        <f t="shared" si="45"/>
        <v>NA</v>
      </c>
      <c r="AI188" s="417" t="str">
        <f t="shared" si="46"/>
        <v>NA</v>
      </c>
      <c r="AJ188" s="417" t="str">
        <f t="shared" si="47"/>
        <v>NA</v>
      </c>
      <c r="AK188" s="524" t="str">
        <f>IFERROR(INDEX('Legacy Resident Reference'!R:R,MATCH('Unit Summary - Rent Roll'!AJ188,'Legacy Resident Reference'!P:P,0)),"NA")</f>
        <v>NA</v>
      </c>
    </row>
    <row r="189" spans="2:37" ht="13.8" hidden="1" outlineLevel="1" x14ac:dyDescent="0.3">
      <c r="B189" s="236">
        <v>163</v>
      </c>
      <c r="C189" s="580" t="s">
        <v>143</v>
      </c>
      <c r="D189" s="581"/>
      <c r="E189" s="186" t="s">
        <v>139</v>
      </c>
      <c r="F189" s="187">
        <v>0</v>
      </c>
      <c r="G189" s="239" t="s">
        <v>85</v>
      </c>
      <c r="H189" s="243">
        <v>0</v>
      </c>
      <c r="I189" s="373">
        <f t="shared" si="35"/>
        <v>0</v>
      </c>
      <c r="J189" s="250" t="s">
        <v>139</v>
      </c>
      <c r="K189" s="508" t="s">
        <v>139</v>
      </c>
      <c r="L189" s="399" t="s">
        <v>139</v>
      </c>
      <c r="M189" s="403">
        <v>0</v>
      </c>
      <c r="N189" s="282" t="s">
        <v>139</v>
      </c>
      <c r="O189" s="302" t="str">
        <f>IF(OR(M189=0,N189="NA"),"NA",IFERROR(INDEX('Data - Reference'!$B$37:$B$50,MATCH('Unit Summary - Rent Roll'!$M189,INDEX('Data - Reference'!$B$37:$J$50,,MATCH('Unit Summary - Rent Roll'!$N189,'Data - Reference'!$B$37:$J$37,0)),-1),1),"NA"))</f>
        <v>NA</v>
      </c>
      <c r="P189" s="239" t="s">
        <v>85</v>
      </c>
      <c r="Q189" s="239" t="s">
        <v>85</v>
      </c>
      <c r="R189" s="188">
        <v>0</v>
      </c>
      <c r="S189" s="364">
        <f t="shared" si="36"/>
        <v>0</v>
      </c>
      <c r="T189" s="97">
        <f t="shared" si="37"/>
        <v>0</v>
      </c>
      <c r="U189" s="188">
        <v>0</v>
      </c>
      <c r="V189" s="364">
        <f t="shared" si="38"/>
        <v>0</v>
      </c>
      <c r="W189" s="97">
        <f t="shared" si="39"/>
        <v>0</v>
      </c>
      <c r="X189" s="71">
        <f>IFERROR(IF(INDEX(AC$14:AC$18,MATCH($E189,$AB$14:$AB$18,0))&lt;&gt;0,INDEX(AC$14:AC$18,MATCH($E189,$AB$14:$AB$18,0)),
IF($M189="Market",0,IF($L189="HUD FMR",INDEX('Data - Reference'!$B$31:$G$31,MATCH($E189,'Data - Reference'!$B$9:$G$9,0)),INDEX('Data - Reference'!$B$9:$G$31,MATCH($K189,'Data - Reference'!$B$9:$B$31,0),MATCH($E189,'Data - Reference'!$B$9:$G$9,0))))),0)</f>
        <v>0</v>
      </c>
      <c r="Y189" s="71">
        <f>IFERROR(IF(INDEX(AD$14:AD$18,MATCH($E189,$AB$14:$AB$18,0))&lt;&gt;0,INDEX(AD$14:AD$18,MATCH($E189,$AB$14:$AB$18,0)),
IF($K189="None - Market",0,-INDEX('Data - Reference'!$B$32:$G$32,MATCH($E189,'Data - Reference'!$B$9:$G$9,0)))),0)</f>
        <v>0</v>
      </c>
      <c r="Z189" s="74">
        <f t="shared" si="48"/>
        <v>0</v>
      </c>
      <c r="AA189" s="67">
        <f t="shared" si="40"/>
        <v>0</v>
      </c>
      <c r="AB189" s="97">
        <f t="shared" si="41"/>
        <v>0</v>
      </c>
      <c r="AC189" s="82">
        <f t="shared" si="5"/>
        <v>0</v>
      </c>
      <c r="AD189" s="83">
        <f t="shared" si="42"/>
        <v>0</v>
      </c>
      <c r="AE189" s="97">
        <f t="shared" si="43"/>
        <v>0</v>
      </c>
      <c r="AF189" s="415" t="str">
        <f t="shared" si="49"/>
        <v>NA</v>
      </c>
      <c r="AG189" s="420" t="str">
        <f t="shared" si="44"/>
        <v>NA</v>
      </c>
      <c r="AH189" s="420" t="str">
        <f t="shared" si="45"/>
        <v>NA</v>
      </c>
      <c r="AI189" s="417" t="str">
        <f t="shared" si="46"/>
        <v>NA</v>
      </c>
      <c r="AJ189" s="417" t="str">
        <f t="shared" si="47"/>
        <v>NA</v>
      </c>
      <c r="AK189" s="524" t="str">
        <f>IFERROR(INDEX('Legacy Resident Reference'!R:R,MATCH('Unit Summary - Rent Roll'!AJ189,'Legacy Resident Reference'!P:P,0)),"NA")</f>
        <v>NA</v>
      </c>
    </row>
    <row r="190" spans="2:37" ht="13.8" hidden="1" outlineLevel="1" x14ac:dyDescent="0.3">
      <c r="B190" s="236">
        <v>164</v>
      </c>
      <c r="C190" s="580" t="s">
        <v>143</v>
      </c>
      <c r="D190" s="581"/>
      <c r="E190" s="186" t="s">
        <v>139</v>
      </c>
      <c r="F190" s="187">
        <v>0</v>
      </c>
      <c r="G190" s="239" t="s">
        <v>85</v>
      </c>
      <c r="H190" s="243">
        <v>0</v>
      </c>
      <c r="I190" s="373">
        <f t="shared" si="35"/>
        <v>0</v>
      </c>
      <c r="J190" s="250" t="s">
        <v>139</v>
      </c>
      <c r="K190" s="508" t="s">
        <v>139</v>
      </c>
      <c r="L190" s="399" t="s">
        <v>139</v>
      </c>
      <c r="M190" s="403">
        <v>0</v>
      </c>
      <c r="N190" s="282" t="s">
        <v>139</v>
      </c>
      <c r="O190" s="302" t="str">
        <f>IF(OR(M190=0,N190="NA"),"NA",IFERROR(INDEX('Data - Reference'!$B$37:$B$50,MATCH('Unit Summary - Rent Roll'!$M190,INDEX('Data - Reference'!$B$37:$J$50,,MATCH('Unit Summary - Rent Roll'!$N190,'Data - Reference'!$B$37:$J$37,0)),-1),1),"NA"))</f>
        <v>NA</v>
      </c>
      <c r="P190" s="239" t="s">
        <v>85</v>
      </c>
      <c r="Q190" s="239" t="s">
        <v>85</v>
      </c>
      <c r="R190" s="188">
        <v>0</v>
      </c>
      <c r="S190" s="364">
        <f t="shared" si="36"/>
        <v>0</v>
      </c>
      <c r="T190" s="97">
        <f t="shared" si="37"/>
        <v>0</v>
      </c>
      <c r="U190" s="188">
        <v>0</v>
      </c>
      <c r="V190" s="364">
        <f t="shared" si="38"/>
        <v>0</v>
      </c>
      <c r="W190" s="97">
        <f t="shared" si="39"/>
        <v>0</v>
      </c>
      <c r="X190" s="71">
        <f>IFERROR(IF(INDEX(AC$14:AC$18,MATCH($E190,$AB$14:$AB$18,0))&lt;&gt;0,INDEX(AC$14:AC$18,MATCH($E190,$AB$14:$AB$18,0)),
IF($M190="Market",0,IF($L190="HUD FMR",INDEX('Data - Reference'!$B$31:$G$31,MATCH($E190,'Data - Reference'!$B$9:$G$9,0)),INDEX('Data - Reference'!$B$9:$G$31,MATCH($K190,'Data - Reference'!$B$9:$B$31,0),MATCH($E190,'Data - Reference'!$B$9:$G$9,0))))),0)</f>
        <v>0</v>
      </c>
      <c r="Y190" s="71">
        <f>IFERROR(IF(INDEX(AD$14:AD$18,MATCH($E190,$AB$14:$AB$18,0))&lt;&gt;0,INDEX(AD$14:AD$18,MATCH($E190,$AB$14:$AB$18,0)),
IF($K190="None - Market",0,-INDEX('Data - Reference'!$B$32:$G$32,MATCH($E190,'Data - Reference'!$B$9:$G$9,0)))),0)</f>
        <v>0</v>
      </c>
      <c r="Z190" s="74">
        <f t="shared" si="48"/>
        <v>0</v>
      </c>
      <c r="AA190" s="67">
        <f t="shared" si="40"/>
        <v>0</v>
      </c>
      <c r="AB190" s="97">
        <f t="shared" si="41"/>
        <v>0</v>
      </c>
      <c r="AC190" s="82">
        <f t="shared" si="5"/>
        <v>0</v>
      </c>
      <c r="AD190" s="83">
        <f t="shared" si="42"/>
        <v>0</v>
      </c>
      <c r="AE190" s="97">
        <f t="shared" si="43"/>
        <v>0</v>
      </c>
      <c r="AF190" s="415" t="str">
        <f t="shared" si="49"/>
        <v>NA</v>
      </c>
      <c r="AG190" s="420" t="str">
        <f t="shared" si="44"/>
        <v>NA</v>
      </c>
      <c r="AH190" s="420" t="str">
        <f t="shared" si="45"/>
        <v>NA</v>
      </c>
      <c r="AI190" s="417" t="str">
        <f t="shared" si="46"/>
        <v>NA</v>
      </c>
      <c r="AJ190" s="417" t="str">
        <f t="shared" si="47"/>
        <v>NA</v>
      </c>
      <c r="AK190" s="524" t="str">
        <f>IFERROR(INDEX('Legacy Resident Reference'!R:R,MATCH('Unit Summary - Rent Roll'!AJ190,'Legacy Resident Reference'!P:P,0)),"NA")</f>
        <v>NA</v>
      </c>
    </row>
    <row r="191" spans="2:37" ht="13.8" hidden="1" outlineLevel="1" x14ac:dyDescent="0.3">
      <c r="B191" s="236">
        <v>165</v>
      </c>
      <c r="C191" s="580" t="s">
        <v>143</v>
      </c>
      <c r="D191" s="581"/>
      <c r="E191" s="186" t="s">
        <v>139</v>
      </c>
      <c r="F191" s="187">
        <v>0</v>
      </c>
      <c r="G191" s="239" t="s">
        <v>85</v>
      </c>
      <c r="H191" s="243">
        <v>0</v>
      </c>
      <c r="I191" s="373">
        <f t="shared" si="35"/>
        <v>0</v>
      </c>
      <c r="J191" s="250" t="s">
        <v>139</v>
      </c>
      <c r="K191" s="508" t="s">
        <v>139</v>
      </c>
      <c r="L191" s="399" t="s">
        <v>139</v>
      </c>
      <c r="M191" s="403">
        <v>0</v>
      </c>
      <c r="N191" s="282" t="s">
        <v>139</v>
      </c>
      <c r="O191" s="302" t="str">
        <f>IF(OR(M191=0,N191="NA"),"NA",IFERROR(INDEX('Data - Reference'!$B$37:$B$50,MATCH('Unit Summary - Rent Roll'!$M191,INDEX('Data - Reference'!$B$37:$J$50,,MATCH('Unit Summary - Rent Roll'!$N191,'Data - Reference'!$B$37:$J$37,0)),-1),1),"NA"))</f>
        <v>NA</v>
      </c>
      <c r="P191" s="239" t="s">
        <v>85</v>
      </c>
      <c r="Q191" s="239" t="s">
        <v>85</v>
      </c>
      <c r="R191" s="188">
        <v>0</v>
      </c>
      <c r="S191" s="364">
        <f t="shared" si="36"/>
        <v>0</v>
      </c>
      <c r="T191" s="97">
        <f t="shared" si="37"/>
        <v>0</v>
      </c>
      <c r="U191" s="188">
        <v>0</v>
      </c>
      <c r="V191" s="364">
        <f t="shared" si="38"/>
        <v>0</v>
      </c>
      <c r="W191" s="97">
        <f t="shared" si="39"/>
        <v>0</v>
      </c>
      <c r="X191" s="71">
        <f>IFERROR(IF(INDEX(AC$14:AC$18,MATCH($E191,$AB$14:$AB$18,0))&lt;&gt;0,INDEX(AC$14:AC$18,MATCH($E191,$AB$14:$AB$18,0)),
IF($M191="Market",0,IF($L191="HUD FMR",INDEX('Data - Reference'!$B$31:$G$31,MATCH($E191,'Data - Reference'!$B$9:$G$9,0)),INDEX('Data - Reference'!$B$9:$G$31,MATCH($K191,'Data - Reference'!$B$9:$B$31,0),MATCH($E191,'Data - Reference'!$B$9:$G$9,0))))),0)</f>
        <v>0</v>
      </c>
      <c r="Y191" s="71">
        <f>IFERROR(IF(INDEX(AD$14:AD$18,MATCH($E191,$AB$14:$AB$18,0))&lt;&gt;0,INDEX(AD$14:AD$18,MATCH($E191,$AB$14:$AB$18,0)),
IF($K191="None - Market",0,-INDEX('Data - Reference'!$B$32:$G$32,MATCH($E191,'Data - Reference'!$B$9:$G$9,0)))),0)</f>
        <v>0</v>
      </c>
      <c r="Z191" s="74">
        <f t="shared" si="48"/>
        <v>0</v>
      </c>
      <c r="AA191" s="67">
        <f t="shared" si="40"/>
        <v>0</v>
      </c>
      <c r="AB191" s="97">
        <f t="shared" si="41"/>
        <v>0</v>
      </c>
      <c r="AC191" s="82">
        <f t="shared" si="5"/>
        <v>0</v>
      </c>
      <c r="AD191" s="83">
        <f t="shared" si="42"/>
        <v>0</v>
      </c>
      <c r="AE191" s="97">
        <f t="shared" si="43"/>
        <v>0</v>
      </c>
      <c r="AF191" s="415" t="str">
        <f t="shared" si="49"/>
        <v>NA</v>
      </c>
      <c r="AG191" s="420" t="str">
        <f t="shared" si="44"/>
        <v>NA</v>
      </c>
      <c r="AH191" s="420" t="str">
        <f t="shared" si="45"/>
        <v>NA</v>
      </c>
      <c r="AI191" s="417" t="str">
        <f t="shared" si="46"/>
        <v>NA</v>
      </c>
      <c r="AJ191" s="417" t="str">
        <f t="shared" si="47"/>
        <v>NA</v>
      </c>
      <c r="AK191" s="524" t="str">
        <f>IFERROR(INDEX('Legacy Resident Reference'!R:R,MATCH('Unit Summary - Rent Roll'!AJ191,'Legacy Resident Reference'!P:P,0)),"NA")</f>
        <v>NA</v>
      </c>
    </row>
    <row r="192" spans="2:37" ht="13.8" hidden="1" outlineLevel="1" x14ac:dyDescent="0.3">
      <c r="B192" s="236">
        <v>166</v>
      </c>
      <c r="C192" s="580" t="s">
        <v>143</v>
      </c>
      <c r="D192" s="581"/>
      <c r="E192" s="186" t="s">
        <v>139</v>
      </c>
      <c r="F192" s="187">
        <v>0</v>
      </c>
      <c r="G192" s="239" t="s">
        <v>85</v>
      </c>
      <c r="H192" s="243">
        <v>0</v>
      </c>
      <c r="I192" s="373">
        <f t="shared" si="35"/>
        <v>0</v>
      </c>
      <c r="J192" s="250" t="s">
        <v>139</v>
      </c>
      <c r="K192" s="508" t="s">
        <v>139</v>
      </c>
      <c r="L192" s="399" t="s">
        <v>139</v>
      </c>
      <c r="M192" s="403">
        <v>0</v>
      </c>
      <c r="N192" s="282" t="s">
        <v>139</v>
      </c>
      <c r="O192" s="302" t="str">
        <f>IF(OR(M192=0,N192="NA"),"NA",IFERROR(INDEX('Data - Reference'!$B$37:$B$50,MATCH('Unit Summary - Rent Roll'!$M192,INDEX('Data - Reference'!$B$37:$J$50,,MATCH('Unit Summary - Rent Roll'!$N192,'Data - Reference'!$B$37:$J$37,0)),-1),1),"NA"))</f>
        <v>NA</v>
      </c>
      <c r="P192" s="239" t="s">
        <v>85</v>
      </c>
      <c r="Q192" s="239" t="s">
        <v>85</v>
      </c>
      <c r="R192" s="188">
        <v>0</v>
      </c>
      <c r="S192" s="364">
        <f t="shared" si="36"/>
        <v>0</v>
      </c>
      <c r="T192" s="97">
        <f t="shared" si="37"/>
        <v>0</v>
      </c>
      <c r="U192" s="188">
        <v>0</v>
      </c>
      <c r="V192" s="364">
        <f t="shared" si="38"/>
        <v>0</v>
      </c>
      <c r="W192" s="97">
        <f t="shared" si="39"/>
        <v>0</v>
      </c>
      <c r="X192" s="71">
        <f>IFERROR(IF(INDEX(AC$14:AC$18,MATCH($E192,$AB$14:$AB$18,0))&lt;&gt;0,INDEX(AC$14:AC$18,MATCH($E192,$AB$14:$AB$18,0)),
IF($M192="Market",0,IF($L192="HUD FMR",INDEX('Data - Reference'!$B$31:$G$31,MATCH($E192,'Data - Reference'!$B$9:$G$9,0)),INDEX('Data - Reference'!$B$9:$G$31,MATCH($K192,'Data - Reference'!$B$9:$B$31,0),MATCH($E192,'Data - Reference'!$B$9:$G$9,0))))),0)</f>
        <v>0</v>
      </c>
      <c r="Y192" s="71">
        <f>IFERROR(IF(INDEX(AD$14:AD$18,MATCH($E192,$AB$14:$AB$18,0))&lt;&gt;0,INDEX(AD$14:AD$18,MATCH($E192,$AB$14:$AB$18,0)),
IF($K192="None - Market",0,-INDEX('Data - Reference'!$B$32:$G$32,MATCH($E192,'Data - Reference'!$B$9:$G$9,0)))),0)</f>
        <v>0</v>
      </c>
      <c r="Z192" s="74">
        <f t="shared" si="48"/>
        <v>0</v>
      </c>
      <c r="AA192" s="67">
        <f t="shared" si="40"/>
        <v>0</v>
      </c>
      <c r="AB192" s="97">
        <f t="shared" si="41"/>
        <v>0</v>
      </c>
      <c r="AC192" s="82">
        <f t="shared" si="5"/>
        <v>0</v>
      </c>
      <c r="AD192" s="83">
        <f t="shared" si="42"/>
        <v>0</v>
      </c>
      <c r="AE192" s="97">
        <f t="shared" si="43"/>
        <v>0</v>
      </c>
      <c r="AF192" s="415" t="str">
        <f t="shared" si="49"/>
        <v>NA</v>
      </c>
      <c r="AG192" s="420" t="str">
        <f t="shared" si="44"/>
        <v>NA</v>
      </c>
      <c r="AH192" s="420" t="str">
        <f t="shared" si="45"/>
        <v>NA</v>
      </c>
      <c r="AI192" s="417" t="str">
        <f t="shared" si="46"/>
        <v>NA</v>
      </c>
      <c r="AJ192" s="417" t="str">
        <f t="shared" si="47"/>
        <v>NA</v>
      </c>
      <c r="AK192" s="524" t="str">
        <f>IFERROR(INDEX('Legacy Resident Reference'!R:R,MATCH('Unit Summary - Rent Roll'!AJ192,'Legacy Resident Reference'!P:P,0)),"NA")</f>
        <v>NA</v>
      </c>
    </row>
    <row r="193" spans="2:37" ht="13.8" hidden="1" outlineLevel="1" x14ac:dyDescent="0.3">
      <c r="B193" s="236">
        <v>167</v>
      </c>
      <c r="C193" s="580" t="s">
        <v>143</v>
      </c>
      <c r="D193" s="581"/>
      <c r="E193" s="186" t="s">
        <v>139</v>
      </c>
      <c r="F193" s="187">
        <v>0</v>
      </c>
      <c r="G193" s="239" t="s">
        <v>85</v>
      </c>
      <c r="H193" s="243">
        <v>0</v>
      </c>
      <c r="I193" s="373">
        <f t="shared" si="35"/>
        <v>0</v>
      </c>
      <c r="J193" s="250" t="s">
        <v>139</v>
      </c>
      <c r="K193" s="508" t="s">
        <v>139</v>
      </c>
      <c r="L193" s="399" t="s">
        <v>139</v>
      </c>
      <c r="M193" s="403">
        <v>0</v>
      </c>
      <c r="N193" s="282" t="s">
        <v>139</v>
      </c>
      <c r="O193" s="302" t="str">
        <f>IF(OR(M193=0,N193="NA"),"NA",IFERROR(INDEX('Data - Reference'!$B$37:$B$50,MATCH('Unit Summary - Rent Roll'!$M193,INDEX('Data - Reference'!$B$37:$J$50,,MATCH('Unit Summary - Rent Roll'!$N193,'Data - Reference'!$B$37:$J$37,0)),-1),1),"NA"))</f>
        <v>NA</v>
      </c>
      <c r="P193" s="239" t="s">
        <v>85</v>
      </c>
      <c r="Q193" s="239" t="s">
        <v>85</v>
      </c>
      <c r="R193" s="188">
        <v>0</v>
      </c>
      <c r="S193" s="364">
        <f t="shared" si="36"/>
        <v>0</v>
      </c>
      <c r="T193" s="97">
        <f t="shared" si="37"/>
        <v>0</v>
      </c>
      <c r="U193" s="188">
        <v>0</v>
      </c>
      <c r="V193" s="364">
        <f t="shared" si="38"/>
        <v>0</v>
      </c>
      <c r="W193" s="97">
        <f t="shared" si="39"/>
        <v>0</v>
      </c>
      <c r="X193" s="71">
        <f>IFERROR(IF(INDEX(AC$14:AC$18,MATCH($E193,$AB$14:$AB$18,0))&lt;&gt;0,INDEX(AC$14:AC$18,MATCH($E193,$AB$14:$AB$18,0)),
IF($M193="Market",0,IF($L193="HUD FMR",INDEX('Data - Reference'!$B$31:$G$31,MATCH($E193,'Data - Reference'!$B$9:$G$9,0)),INDEX('Data - Reference'!$B$9:$G$31,MATCH($K193,'Data - Reference'!$B$9:$B$31,0),MATCH($E193,'Data - Reference'!$B$9:$G$9,0))))),0)</f>
        <v>0</v>
      </c>
      <c r="Y193" s="71">
        <f>IFERROR(IF(INDEX(AD$14:AD$18,MATCH($E193,$AB$14:$AB$18,0))&lt;&gt;0,INDEX(AD$14:AD$18,MATCH($E193,$AB$14:$AB$18,0)),
IF($K193="None - Market",0,-INDEX('Data - Reference'!$B$32:$G$32,MATCH($E193,'Data - Reference'!$B$9:$G$9,0)))),0)</f>
        <v>0</v>
      </c>
      <c r="Z193" s="74">
        <f t="shared" si="48"/>
        <v>0</v>
      </c>
      <c r="AA193" s="67">
        <f t="shared" si="40"/>
        <v>0</v>
      </c>
      <c r="AB193" s="97">
        <f t="shared" si="41"/>
        <v>0</v>
      </c>
      <c r="AC193" s="82">
        <f t="shared" si="5"/>
        <v>0</v>
      </c>
      <c r="AD193" s="83">
        <f t="shared" si="42"/>
        <v>0</v>
      </c>
      <c r="AE193" s="97">
        <f t="shared" si="43"/>
        <v>0</v>
      </c>
      <c r="AF193" s="415" t="str">
        <f t="shared" si="49"/>
        <v>NA</v>
      </c>
      <c r="AG193" s="420" t="str">
        <f t="shared" si="44"/>
        <v>NA</v>
      </c>
      <c r="AH193" s="420" t="str">
        <f t="shared" si="45"/>
        <v>NA</v>
      </c>
      <c r="AI193" s="417" t="str">
        <f t="shared" si="46"/>
        <v>NA</v>
      </c>
      <c r="AJ193" s="417" t="str">
        <f t="shared" si="47"/>
        <v>NA</v>
      </c>
      <c r="AK193" s="524" t="str">
        <f>IFERROR(INDEX('Legacy Resident Reference'!R:R,MATCH('Unit Summary - Rent Roll'!AJ193,'Legacy Resident Reference'!P:P,0)),"NA")</f>
        <v>NA</v>
      </c>
    </row>
    <row r="194" spans="2:37" ht="13.8" hidden="1" outlineLevel="1" x14ac:dyDescent="0.3">
      <c r="B194" s="236">
        <v>168</v>
      </c>
      <c r="C194" s="580" t="s">
        <v>143</v>
      </c>
      <c r="D194" s="581"/>
      <c r="E194" s="186" t="s">
        <v>139</v>
      </c>
      <c r="F194" s="187">
        <v>0</v>
      </c>
      <c r="G194" s="239" t="s">
        <v>85</v>
      </c>
      <c r="H194" s="243">
        <v>0</v>
      </c>
      <c r="I194" s="373">
        <f t="shared" ref="I194:I227" si="50">F194*H194</f>
        <v>0</v>
      </c>
      <c r="J194" s="250" t="s">
        <v>139</v>
      </c>
      <c r="K194" s="508" t="s">
        <v>139</v>
      </c>
      <c r="L194" s="399" t="s">
        <v>139</v>
      </c>
      <c r="M194" s="403">
        <v>0</v>
      </c>
      <c r="N194" s="282" t="s">
        <v>139</v>
      </c>
      <c r="O194" s="302" t="str">
        <f>IF(OR(M194=0,N194="NA"),"NA",IFERROR(INDEX('Data - Reference'!$B$37:$B$50,MATCH('Unit Summary - Rent Roll'!$M194,INDEX('Data - Reference'!$B$37:$J$50,,MATCH('Unit Summary - Rent Roll'!$N194,'Data - Reference'!$B$37:$J$37,0)),-1),1),"NA"))</f>
        <v>NA</v>
      </c>
      <c r="P194" s="239" t="s">
        <v>85</v>
      </c>
      <c r="Q194" s="239" t="s">
        <v>85</v>
      </c>
      <c r="R194" s="188">
        <v>0</v>
      </c>
      <c r="S194" s="364">
        <f t="shared" ref="S194:S227" si="51">IFERROR(R194/$F194,0)</f>
        <v>0</v>
      </c>
      <c r="T194" s="97">
        <f t="shared" ref="T194:T227" si="52">IF(G194="Y",R194*$H194*12,0)</f>
        <v>0</v>
      </c>
      <c r="U194" s="188">
        <v>0</v>
      </c>
      <c r="V194" s="364">
        <f t="shared" ref="V194:V227" si="53">IFERROR(U194/$F194,0)</f>
        <v>0</v>
      </c>
      <c r="W194" s="97">
        <f t="shared" ref="W194:W227" si="54">U194*$H194*12</f>
        <v>0</v>
      </c>
      <c r="X194" s="71">
        <f>IFERROR(IF(INDEX(AC$14:AC$18,MATCH($E194,$AB$14:$AB$18,0))&lt;&gt;0,INDEX(AC$14:AC$18,MATCH($E194,$AB$14:$AB$18,0)),
IF($M194="Market",0,IF($L194="HUD FMR",INDEX('Data - Reference'!$B$31:$G$31,MATCH($E194,'Data - Reference'!$B$9:$G$9,0)),INDEX('Data - Reference'!$B$9:$G$31,MATCH($K194,'Data - Reference'!$B$9:$B$31,0),MATCH($E194,'Data - Reference'!$B$9:$G$9,0))))),0)</f>
        <v>0</v>
      </c>
      <c r="Y194" s="71">
        <f>IFERROR(IF(INDEX(AD$14:AD$18,MATCH($E194,$AB$14:$AB$18,0))&lt;&gt;0,INDEX(AD$14:AD$18,MATCH($E194,$AB$14:$AB$18,0)),
IF($K194="None - Market",0,-INDEX('Data - Reference'!$B$32:$G$32,MATCH($E194,'Data - Reference'!$B$9:$G$9,0)))),0)</f>
        <v>0</v>
      </c>
      <c r="Z194" s="74">
        <f t="shared" si="48"/>
        <v>0</v>
      </c>
      <c r="AA194" s="67">
        <f t="shared" ref="AA194:AA227" si="55">IFERROR(Z194/$F194,0)</f>
        <v>0</v>
      </c>
      <c r="AB194" s="97">
        <f t="shared" ref="AB194:AB227" si="56">Z194*$H194*12</f>
        <v>0</v>
      </c>
      <c r="AC194" s="82">
        <f t="shared" si="5"/>
        <v>0</v>
      </c>
      <c r="AD194" s="83">
        <f t="shared" ref="AD194:AD227" si="57">IFERROR(AC194/$F194,0)</f>
        <v>0</v>
      </c>
      <c r="AE194" s="97">
        <f t="shared" ref="AE194:AE227" si="58">AC194*$H194*12</f>
        <v>0</v>
      </c>
      <c r="AF194" s="415" t="str">
        <f t="shared" si="49"/>
        <v>NA</v>
      </c>
      <c r="AG194" s="420" t="str">
        <f t="shared" ref="AG194:AG227" si="59">IFERROR(IF(AND(OR(AJ194="1a",AJ194="2a"),OR(AH194="Y",AI194="Y")),"Y",
IF(AND(OR(AJ194="1b",AJ194="2b"),AF194="Y"),"Y",
IF(AJ194="4","Y",
IF(AJ194="NA","NA",
"N")))),"NA")</f>
        <v>NA</v>
      </c>
      <c r="AH194" s="420" t="str">
        <f t="shared" ref="AH194:AH227" si="60">IFERROR(IF(OR(G194="N",AE194=0),"NA",
IF(M194=0,"Input Current Household Income",
IF(G194="Y",IF(OR(J194="PBV - Income-Restricted",J194="PBRA - Income-Restricted",(U194-Y194)&lt;=M194/12*0.3),"Y","N"),"NA"))),"NA")</f>
        <v>NA</v>
      </c>
      <c r="AI194" s="417" t="str">
        <f t="shared" si="46"/>
        <v>NA</v>
      </c>
      <c r="AJ194" s="417" t="str">
        <f t="shared" ref="AJ194:AJ227" si="61">IFERROR(IF(G194="N","NA",
(IF(AND(J194="Market",O194&gt;80%),"4",
IF(AND(O194&lt;=K194,O194&lt;=80%),"1a",
IF(AND(O194&lt;=K194,O194&gt;80%,O194&lt;=120%),"1b",
IF(AND(O194&gt;K194,O194&lt;=80%),"2a",
IF(AND(O194&gt;80%,O194&lt;=120%,O194-K194&lt;=20%),"2b",
IF(AND(O194&gt;80%,O194&lt;=120%,O194-K194&gt;20%),"3a",
IF(OR(M194=0,O194&gt;120%),"3b",
"Other"))))))))),"NA")</f>
        <v>NA</v>
      </c>
      <c r="AK194" s="524" t="str">
        <f>IFERROR(INDEX('Legacy Resident Reference'!R:R,MATCH('Unit Summary - Rent Roll'!AJ194,'Legacy Resident Reference'!P:P,0)),"NA")</f>
        <v>NA</v>
      </c>
    </row>
    <row r="195" spans="2:37" ht="13.8" hidden="1" outlineLevel="1" x14ac:dyDescent="0.3">
      <c r="B195" s="236">
        <v>169</v>
      </c>
      <c r="C195" s="580" t="s">
        <v>143</v>
      </c>
      <c r="D195" s="581"/>
      <c r="E195" s="186" t="s">
        <v>139</v>
      </c>
      <c r="F195" s="187">
        <v>0</v>
      </c>
      <c r="G195" s="239" t="s">
        <v>85</v>
      </c>
      <c r="H195" s="243">
        <v>0</v>
      </c>
      <c r="I195" s="373">
        <f t="shared" si="50"/>
        <v>0</v>
      </c>
      <c r="J195" s="250" t="s">
        <v>139</v>
      </c>
      <c r="K195" s="508" t="s">
        <v>139</v>
      </c>
      <c r="L195" s="399" t="s">
        <v>139</v>
      </c>
      <c r="M195" s="403">
        <v>0</v>
      </c>
      <c r="N195" s="282" t="s">
        <v>139</v>
      </c>
      <c r="O195" s="302" t="str">
        <f>IF(OR(M195=0,N195="NA"),"NA",IFERROR(INDEX('Data - Reference'!$B$37:$B$50,MATCH('Unit Summary - Rent Roll'!$M195,INDEX('Data - Reference'!$B$37:$J$50,,MATCH('Unit Summary - Rent Roll'!$N195,'Data - Reference'!$B$37:$J$37,0)),-1),1),"NA"))</f>
        <v>NA</v>
      </c>
      <c r="P195" s="239" t="s">
        <v>85</v>
      </c>
      <c r="Q195" s="239" t="s">
        <v>85</v>
      </c>
      <c r="R195" s="188">
        <v>0</v>
      </c>
      <c r="S195" s="364">
        <f t="shared" si="51"/>
        <v>0</v>
      </c>
      <c r="T195" s="97">
        <f t="shared" si="52"/>
        <v>0</v>
      </c>
      <c r="U195" s="188">
        <v>0</v>
      </c>
      <c r="V195" s="364">
        <f t="shared" si="53"/>
        <v>0</v>
      </c>
      <c r="W195" s="97">
        <f t="shared" si="54"/>
        <v>0</v>
      </c>
      <c r="X195" s="71">
        <f>IFERROR(IF(INDEX(AC$14:AC$18,MATCH($E195,$AB$14:$AB$18,0))&lt;&gt;0,INDEX(AC$14:AC$18,MATCH($E195,$AB$14:$AB$18,0)),
IF($M195="Market",0,IF($L195="HUD FMR",INDEX('Data - Reference'!$B$31:$G$31,MATCH($E195,'Data - Reference'!$B$9:$G$9,0)),INDEX('Data - Reference'!$B$9:$G$31,MATCH($K195,'Data - Reference'!$B$9:$B$31,0),MATCH($E195,'Data - Reference'!$B$9:$G$9,0))))),0)</f>
        <v>0</v>
      </c>
      <c r="Y195" s="71">
        <f>IFERROR(IF(INDEX(AD$14:AD$18,MATCH($E195,$AB$14:$AB$18,0))&lt;&gt;0,INDEX(AD$14:AD$18,MATCH($E195,$AB$14:$AB$18,0)),
IF($K195="None - Market",0,-INDEX('Data - Reference'!$B$32:$G$32,MATCH($E195,'Data - Reference'!$B$9:$G$9,0)))),0)</f>
        <v>0</v>
      </c>
      <c r="Z195" s="74">
        <f t="shared" si="48"/>
        <v>0</v>
      </c>
      <c r="AA195" s="67">
        <f t="shared" si="55"/>
        <v>0</v>
      </c>
      <c r="AB195" s="97">
        <f t="shared" si="56"/>
        <v>0</v>
      </c>
      <c r="AC195" s="82">
        <f t="shared" si="5"/>
        <v>0</v>
      </c>
      <c r="AD195" s="83">
        <f t="shared" si="57"/>
        <v>0</v>
      </c>
      <c r="AE195" s="97">
        <f t="shared" si="58"/>
        <v>0</v>
      </c>
      <c r="AF195" s="415" t="str">
        <f t="shared" si="49"/>
        <v>NA</v>
      </c>
      <c r="AG195" s="420" t="str">
        <f t="shared" si="59"/>
        <v>NA</v>
      </c>
      <c r="AH195" s="420" t="str">
        <f t="shared" si="60"/>
        <v>NA</v>
      </c>
      <c r="AI195" s="417" t="str">
        <f t="shared" si="46"/>
        <v>NA</v>
      </c>
      <c r="AJ195" s="417" t="str">
        <f t="shared" si="61"/>
        <v>NA</v>
      </c>
      <c r="AK195" s="524" t="str">
        <f>IFERROR(INDEX('Legacy Resident Reference'!R:R,MATCH('Unit Summary - Rent Roll'!AJ195,'Legacy Resident Reference'!P:P,0)),"NA")</f>
        <v>NA</v>
      </c>
    </row>
    <row r="196" spans="2:37" ht="13.8" hidden="1" outlineLevel="1" x14ac:dyDescent="0.3">
      <c r="B196" s="236">
        <v>170</v>
      </c>
      <c r="C196" s="580" t="s">
        <v>143</v>
      </c>
      <c r="D196" s="581"/>
      <c r="E196" s="186" t="s">
        <v>139</v>
      </c>
      <c r="F196" s="187">
        <v>0</v>
      </c>
      <c r="G196" s="239" t="s">
        <v>85</v>
      </c>
      <c r="H196" s="243">
        <v>0</v>
      </c>
      <c r="I196" s="373">
        <f t="shared" si="50"/>
        <v>0</v>
      </c>
      <c r="J196" s="250" t="s">
        <v>139</v>
      </c>
      <c r="K196" s="508" t="s">
        <v>139</v>
      </c>
      <c r="L196" s="399" t="s">
        <v>139</v>
      </c>
      <c r="M196" s="403">
        <v>0</v>
      </c>
      <c r="N196" s="282" t="s">
        <v>139</v>
      </c>
      <c r="O196" s="302" t="str">
        <f>IF(OR(M196=0,N196="NA"),"NA",IFERROR(INDEX('Data - Reference'!$B$37:$B$50,MATCH('Unit Summary - Rent Roll'!$M196,INDEX('Data - Reference'!$B$37:$J$50,,MATCH('Unit Summary - Rent Roll'!$N196,'Data - Reference'!$B$37:$J$37,0)),-1),1),"NA"))</f>
        <v>NA</v>
      </c>
      <c r="P196" s="239" t="s">
        <v>85</v>
      </c>
      <c r="Q196" s="239" t="s">
        <v>85</v>
      </c>
      <c r="R196" s="188">
        <v>0</v>
      </c>
      <c r="S196" s="364">
        <f t="shared" si="51"/>
        <v>0</v>
      </c>
      <c r="T196" s="97">
        <f t="shared" si="52"/>
        <v>0</v>
      </c>
      <c r="U196" s="188">
        <v>0</v>
      </c>
      <c r="V196" s="364">
        <f t="shared" si="53"/>
        <v>0</v>
      </c>
      <c r="W196" s="97">
        <f t="shared" si="54"/>
        <v>0</v>
      </c>
      <c r="X196" s="71">
        <f>IFERROR(IF(INDEX(AC$14:AC$18,MATCH($E196,$AB$14:$AB$18,0))&lt;&gt;0,INDEX(AC$14:AC$18,MATCH($E196,$AB$14:$AB$18,0)),
IF($M196="Market",0,IF($L196="HUD FMR",INDEX('Data - Reference'!$B$31:$G$31,MATCH($E196,'Data - Reference'!$B$9:$G$9,0)),INDEX('Data - Reference'!$B$9:$G$31,MATCH($K196,'Data - Reference'!$B$9:$B$31,0),MATCH($E196,'Data - Reference'!$B$9:$G$9,0))))),0)</f>
        <v>0</v>
      </c>
      <c r="Y196" s="71">
        <f>IFERROR(IF(INDEX(AD$14:AD$18,MATCH($E196,$AB$14:$AB$18,0))&lt;&gt;0,INDEX(AD$14:AD$18,MATCH($E196,$AB$14:$AB$18,0)),
IF($K196="None - Market",0,-INDEX('Data - Reference'!$B$32:$G$32,MATCH($E196,'Data - Reference'!$B$9:$G$9,0)))),0)</f>
        <v>0</v>
      </c>
      <c r="Z196" s="74">
        <f t="shared" si="48"/>
        <v>0</v>
      </c>
      <c r="AA196" s="67">
        <f t="shared" si="55"/>
        <v>0</v>
      </c>
      <c r="AB196" s="97">
        <f t="shared" si="56"/>
        <v>0</v>
      </c>
      <c r="AC196" s="82">
        <f t="shared" si="5"/>
        <v>0</v>
      </c>
      <c r="AD196" s="83">
        <f t="shared" si="57"/>
        <v>0</v>
      </c>
      <c r="AE196" s="97">
        <f t="shared" si="58"/>
        <v>0</v>
      </c>
      <c r="AF196" s="415" t="str">
        <f t="shared" si="49"/>
        <v>NA</v>
      </c>
      <c r="AG196" s="420" t="str">
        <f t="shared" si="59"/>
        <v>NA</v>
      </c>
      <c r="AH196" s="420" t="str">
        <f t="shared" si="60"/>
        <v>NA</v>
      </c>
      <c r="AI196" s="417" t="str">
        <f t="shared" si="46"/>
        <v>NA</v>
      </c>
      <c r="AJ196" s="417" t="str">
        <f t="shared" si="61"/>
        <v>NA</v>
      </c>
      <c r="AK196" s="524" t="str">
        <f>IFERROR(INDEX('Legacy Resident Reference'!R:R,MATCH('Unit Summary - Rent Roll'!AJ196,'Legacy Resident Reference'!P:P,0)),"NA")</f>
        <v>NA</v>
      </c>
    </row>
    <row r="197" spans="2:37" ht="13.8" hidden="1" outlineLevel="1" x14ac:dyDescent="0.3">
      <c r="B197" s="236">
        <v>171</v>
      </c>
      <c r="C197" s="580" t="s">
        <v>143</v>
      </c>
      <c r="D197" s="581"/>
      <c r="E197" s="186" t="s">
        <v>139</v>
      </c>
      <c r="F197" s="187">
        <v>0</v>
      </c>
      <c r="G197" s="239" t="s">
        <v>85</v>
      </c>
      <c r="H197" s="243">
        <v>0</v>
      </c>
      <c r="I197" s="373">
        <f t="shared" si="50"/>
        <v>0</v>
      </c>
      <c r="J197" s="250" t="s">
        <v>139</v>
      </c>
      <c r="K197" s="508" t="s">
        <v>139</v>
      </c>
      <c r="L197" s="399" t="s">
        <v>139</v>
      </c>
      <c r="M197" s="403">
        <v>0</v>
      </c>
      <c r="N197" s="282" t="s">
        <v>139</v>
      </c>
      <c r="O197" s="302" t="str">
        <f>IF(OR(M197=0,N197="NA"),"NA",IFERROR(INDEX('Data - Reference'!$B$37:$B$50,MATCH('Unit Summary - Rent Roll'!$M197,INDEX('Data - Reference'!$B$37:$J$50,,MATCH('Unit Summary - Rent Roll'!$N197,'Data - Reference'!$B$37:$J$37,0)),-1),1),"NA"))</f>
        <v>NA</v>
      </c>
      <c r="P197" s="239" t="s">
        <v>85</v>
      </c>
      <c r="Q197" s="239" t="s">
        <v>85</v>
      </c>
      <c r="R197" s="188">
        <v>0</v>
      </c>
      <c r="S197" s="364">
        <f t="shared" si="51"/>
        <v>0</v>
      </c>
      <c r="T197" s="97">
        <f t="shared" si="52"/>
        <v>0</v>
      </c>
      <c r="U197" s="188">
        <v>0</v>
      </c>
      <c r="V197" s="364">
        <f t="shared" si="53"/>
        <v>0</v>
      </c>
      <c r="W197" s="97">
        <f t="shared" si="54"/>
        <v>0</v>
      </c>
      <c r="X197" s="71">
        <f>IFERROR(IF(INDEX(AC$14:AC$18,MATCH($E197,$AB$14:$AB$18,0))&lt;&gt;0,INDEX(AC$14:AC$18,MATCH($E197,$AB$14:$AB$18,0)),
IF($M197="Market",0,IF($L197="HUD FMR",INDEX('Data - Reference'!$B$31:$G$31,MATCH($E197,'Data - Reference'!$B$9:$G$9,0)),INDEX('Data - Reference'!$B$9:$G$31,MATCH($K197,'Data - Reference'!$B$9:$B$31,0),MATCH($E197,'Data - Reference'!$B$9:$G$9,0))))),0)</f>
        <v>0</v>
      </c>
      <c r="Y197" s="71">
        <f>IFERROR(IF(INDEX(AD$14:AD$18,MATCH($E197,$AB$14:$AB$18,0))&lt;&gt;0,INDEX(AD$14:AD$18,MATCH($E197,$AB$14:$AB$18,0)),
IF($K197="None - Market",0,-INDEX('Data - Reference'!$B$32:$G$32,MATCH($E197,'Data - Reference'!$B$9:$G$9,0)))),0)</f>
        <v>0</v>
      </c>
      <c r="Z197" s="74">
        <f t="shared" si="48"/>
        <v>0</v>
      </c>
      <c r="AA197" s="67">
        <f t="shared" si="55"/>
        <v>0</v>
      </c>
      <c r="AB197" s="97">
        <f t="shared" si="56"/>
        <v>0</v>
      </c>
      <c r="AC197" s="82">
        <f t="shared" si="5"/>
        <v>0</v>
      </c>
      <c r="AD197" s="83">
        <f t="shared" si="57"/>
        <v>0</v>
      </c>
      <c r="AE197" s="97">
        <f t="shared" si="58"/>
        <v>0</v>
      </c>
      <c r="AF197" s="415" t="str">
        <f t="shared" si="49"/>
        <v>NA</v>
      </c>
      <c r="AG197" s="420" t="str">
        <f t="shared" si="59"/>
        <v>NA</v>
      </c>
      <c r="AH197" s="420" t="str">
        <f t="shared" si="60"/>
        <v>NA</v>
      </c>
      <c r="AI197" s="417" t="str">
        <f t="shared" si="46"/>
        <v>NA</v>
      </c>
      <c r="AJ197" s="417" t="str">
        <f t="shared" si="61"/>
        <v>NA</v>
      </c>
      <c r="AK197" s="524" t="str">
        <f>IFERROR(INDEX('Legacy Resident Reference'!R:R,MATCH('Unit Summary - Rent Roll'!AJ197,'Legacy Resident Reference'!P:P,0)),"NA")</f>
        <v>NA</v>
      </c>
    </row>
    <row r="198" spans="2:37" ht="13.8" hidden="1" outlineLevel="1" x14ac:dyDescent="0.3">
      <c r="B198" s="236">
        <v>172</v>
      </c>
      <c r="C198" s="580" t="s">
        <v>143</v>
      </c>
      <c r="D198" s="581"/>
      <c r="E198" s="186" t="s">
        <v>139</v>
      </c>
      <c r="F198" s="187">
        <v>0</v>
      </c>
      <c r="G198" s="239" t="s">
        <v>85</v>
      </c>
      <c r="H198" s="243">
        <v>0</v>
      </c>
      <c r="I198" s="373">
        <f t="shared" si="50"/>
        <v>0</v>
      </c>
      <c r="J198" s="250" t="s">
        <v>139</v>
      </c>
      <c r="K198" s="508" t="s">
        <v>139</v>
      </c>
      <c r="L198" s="399" t="s">
        <v>139</v>
      </c>
      <c r="M198" s="403">
        <v>0</v>
      </c>
      <c r="N198" s="282" t="s">
        <v>139</v>
      </c>
      <c r="O198" s="302" t="str">
        <f>IF(OR(M198=0,N198="NA"),"NA",IFERROR(INDEX('Data - Reference'!$B$37:$B$50,MATCH('Unit Summary - Rent Roll'!$M198,INDEX('Data - Reference'!$B$37:$J$50,,MATCH('Unit Summary - Rent Roll'!$N198,'Data - Reference'!$B$37:$J$37,0)),-1),1),"NA"))</f>
        <v>NA</v>
      </c>
      <c r="P198" s="239" t="s">
        <v>85</v>
      </c>
      <c r="Q198" s="239" t="s">
        <v>85</v>
      </c>
      <c r="R198" s="188">
        <v>0</v>
      </c>
      <c r="S198" s="364">
        <f t="shared" si="51"/>
        <v>0</v>
      </c>
      <c r="T198" s="97">
        <f t="shared" si="52"/>
        <v>0</v>
      </c>
      <c r="U198" s="188">
        <v>0</v>
      </c>
      <c r="V198" s="364">
        <f t="shared" si="53"/>
        <v>0</v>
      </c>
      <c r="W198" s="97">
        <f t="shared" si="54"/>
        <v>0</v>
      </c>
      <c r="X198" s="71">
        <f>IFERROR(IF(INDEX(AC$14:AC$18,MATCH($E198,$AB$14:$AB$18,0))&lt;&gt;0,INDEX(AC$14:AC$18,MATCH($E198,$AB$14:$AB$18,0)),
IF($M198="Market",0,IF($L198="HUD FMR",INDEX('Data - Reference'!$B$31:$G$31,MATCH($E198,'Data - Reference'!$B$9:$G$9,0)),INDEX('Data - Reference'!$B$9:$G$31,MATCH($K198,'Data - Reference'!$B$9:$B$31,0),MATCH($E198,'Data - Reference'!$B$9:$G$9,0))))),0)</f>
        <v>0</v>
      </c>
      <c r="Y198" s="71">
        <f>IFERROR(IF(INDEX(AD$14:AD$18,MATCH($E198,$AB$14:$AB$18,0))&lt;&gt;0,INDEX(AD$14:AD$18,MATCH($E198,$AB$14:$AB$18,0)),
IF($K198="None - Market",0,-INDEX('Data - Reference'!$B$32:$G$32,MATCH($E198,'Data - Reference'!$B$9:$G$9,0)))),0)</f>
        <v>0</v>
      </c>
      <c r="Z198" s="74">
        <f t="shared" si="48"/>
        <v>0</v>
      </c>
      <c r="AA198" s="67">
        <f t="shared" si="55"/>
        <v>0</v>
      </c>
      <c r="AB198" s="97">
        <f t="shared" si="56"/>
        <v>0</v>
      </c>
      <c r="AC198" s="82">
        <f t="shared" si="5"/>
        <v>0</v>
      </c>
      <c r="AD198" s="83">
        <f t="shared" si="57"/>
        <v>0</v>
      </c>
      <c r="AE198" s="97">
        <f t="shared" si="58"/>
        <v>0</v>
      </c>
      <c r="AF198" s="415" t="str">
        <f t="shared" si="49"/>
        <v>NA</v>
      </c>
      <c r="AG198" s="420" t="str">
        <f t="shared" si="59"/>
        <v>NA</v>
      </c>
      <c r="AH198" s="420" t="str">
        <f t="shared" si="60"/>
        <v>NA</v>
      </c>
      <c r="AI198" s="417" t="str">
        <f t="shared" si="46"/>
        <v>NA</v>
      </c>
      <c r="AJ198" s="417" t="str">
        <f t="shared" si="61"/>
        <v>NA</v>
      </c>
      <c r="AK198" s="524" t="str">
        <f>IFERROR(INDEX('Legacy Resident Reference'!R:R,MATCH('Unit Summary - Rent Roll'!AJ198,'Legacy Resident Reference'!P:P,0)),"NA")</f>
        <v>NA</v>
      </c>
    </row>
    <row r="199" spans="2:37" ht="13.8" hidden="1" outlineLevel="1" x14ac:dyDescent="0.3">
      <c r="B199" s="236">
        <v>173</v>
      </c>
      <c r="C199" s="580" t="s">
        <v>143</v>
      </c>
      <c r="D199" s="581"/>
      <c r="E199" s="186" t="s">
        <v>139</v>
      </c>
      <c r="F199" s="187">
        <v>0</v>
      </c>
      <c r="G199" s="239" t="s">
        <v>85</v>
      </c>
      <c r="H199" s="243">
        <v>0</v>
      </c>
      <c r="I199" s="373">
        <f t="shared" si="50"/>
        <v>0</v>
      </c>
      <c r="J199" s="250" t="s">
        <v>139</v>
      </c>
      <c r="K199" s="508" t="s">
        <v>139</v>
      </c>
      <c r="L199" s="399" t="s">
        <v>139</v>
      </c>
      <c r="M199" s="403">
        <v>0</v>
      </c>
      <c r="N199" s="282" t="s">
        <v>139</v>
      </c>
      <c r="O199" s="302" t="str">
        <f>IF(OR(M199=0,N199="NA"),"NA",IFERROR(INDEX('Data - Reference'!$B$37:$B$50,MATCH('Unit Summary - Rent Roll'!$M199,INDEX('Data - Reference'!$B$37:$J$50,,MATCH('Unit Summary - Rent Roll'!$N199,'Data - Reference'!$B$37:$J$37,0)),-1),1),"NA"))</f>
        <v>NA</v>
      </c>
      <c r="P199" s="239" t="s">
        <v>85</v>
      </c>
      <c r="Q199" s="239" t="s">
        <v>85</v>
      </c>
      <c r="R199" s="188">
        <v>0</v>
      </c>
      <c r="S199" s="364">
        <f t="shared" si="51"/>
        <v>0</v>
      </c>
      <c r="T199" s="97">
        <f t="shared" si="52"/>
        <v>0</v>
      </c>
      <c r="U199" s="188">
        <v>0</v>
      </c>
      <c r="V199" s="364">
        <f t="shared" si="53"/>
        <v>0</v>
      </c>
      <c r="W199" s="97">
        <f t="shared" si="54"/>
        <v>0</v>
      </c>
      <c r="X199" s="71">
        <f>IFERROR(IF(INDEX(AC$14:AC$18,MATCH($E199,$AB$14:$AB$18,0))&lt;&gt;0,INDEX(AC$14:AC$18,MATCH($E199,$AB$14:$AB$18,0)),
IF($M199="Market",0,IF($L199="HUD FMR",INDEX('Data - Reference'!$B$31:$G$31,MATCH($E199,'Data - Reference'!$B$9:$G$9,0)),INDEX('Data - Reference'!$B$9:$G$31,MATCH($K199,'Data - Reference'!$B$9:$B$31,0),MATCH($E199,'Data - Reference'!$B$9:$G$9,0))))),0)</f>
        <v>0</v>
      </c>
      <c r="Y199" s="71">
        <f>IFERROR(IF(INDEX(AD$14:AD$18,MATCH($E199,$AB$14:$AB$18,0))&lt;&gt;0,INDEX(AD$14:AD$18,MATCH($E199,$AB$14:$AB$18,0)),
IF($K199="None - Market",0,-INDEX('Data - Reference'!$B$32:$G$32,MATCH($E199,'Data - Reference'!$B$9:$G$9,0)))),0)</f>
        <v>0</v>
      </c>
      <c r="Z199" s="74">
        <f t="shared" si="48"/>
        <v>0</v>
      </c>
      <c r="AA199" s="67">
        <f t="shared" si="55"/>
        <v>0</v>
      </c>
      <c r="AB199" s="97">
        <f t="shared" si="56"/>
        <v>0</v>
      </c>
      <c r="AC199" s="82">
        <f t="shared" si="5"/>
        <v>0</v>
      </c>
      <c r="AD199" s="83">
        <f t="shared" si="57"/>
        <v>0</v>
      </c>
      <c r="AE199" s="97">
        <f t="shared" si="58"/>
        <v>0</v>
      </c>
      <c r="AF199" s="415" t="str">
        <f t="shared" si="49"/>
        <v>NA</v>
      </c>
      <c r="AG199" s="420" t="str">
        <f t="shared" si="59"/>
        <v>NA</v>
      </c>
      <c r="AH199" s="420" t="str">
        <f t="shared" si="60"/>
        <v>NA</v>
      </c>
      <c r="AI199" s="417" t="str">
        <f t="shared" si="46"/>
        <v>NA</v>
      </c>
      <c r="AJ199" s="417" t="str">
        <f t="shared" si="61"/>
        <v>NA</v>
      </c>
      <c r="AK199" s="524" t="str">
        <f>IFERROR(INDEX('Legacy Resident Reference'!R:R,MATCH('Unit Summary - Rent Roll'!AJ199,'Legacy Resident Reference'!P:P,0)),"NA")</f>
        <v>NA</v>
      </c>
    </row>
    <row r="200" spans="2:37" ht="13.8" hidden="1" outlineLevel="1" x14ac:dyDescent="0.3">
      <c r="B200" s="236">
        <v>174</v>
      </c>
      <c r="C200" s="580" t="s">
        <v>143</v>
      </c>
      <c r="D200" s="581"/>
      <c r="E200" s="186" t="s">
        <v>139</v>
      </c>
      <c r="F200" s="187">
        <v>0</v>
      </c>
      <c r="G200" s="239" t="s">
        <v>85</v>
      </c>
      <c r="H200" s="243">
        <v>0</v>
      </c>
      <c r="I200" s="373">
        <f t="shared" si="50"/>
        <v>0</v>
      </c>
      <c r="J200" s="250" t="s">
        <v>139</v>
      </c>
      <c r="K200" s="508" t="s">
        <v>139</v>
      </c>
      <c r="L200" s="399" t="s">
        <v>139</v>
      </c>
      <c r="M200" s="403">
        <v>0</v>
      </c>
      <c r="N200" s="282" t="s">
        <v>139</v>
      </c>
      <c r="O200" s="302" t="str">
        <f>IF(OR(M200=0,N200="NA"),"NA",IFERROR(INDEX('Data - Reference'!$B$37:$B$50,MATCH('Unit Summary - Rent Roll'!$M200,INDEX('Data - Reference'!$B$37:$J$50,,MATCH('Unit Summary - Rent Roll'!$N200,'Data - Reference'!$B$37:$J$37,0)),-1),1),"NA"))</f>
        <v>NA</v>
      </c>
      <c r="P200" s="239" t="s">
        <v>85</v>
      </c>
      <c r="Q200" s="239" t="s">
        <v>85</v>
      </c>
      <c r="R200" s="188">
        <v>0</v>
      </c>
      <c r="S200" s="364">
        <f t="shared" si="51"/>
        <v>0</v>
      </c>
      <c r="T200" s="97">
        <f t="shared" si="52"/>
        <v>0</v>
      </c>
      <c r="U200" s="188">
        <v>0</v>
      </c>
      <c r="V200" s="364">
        <f t="shared" si="53"/>
        <v>0</v>
      </c>
      <c r="W200" s="97">
        <f t="shared" si="54"/>
        <v>0</v>
      </c>
      <c r="X200" s="71">
        <f>IFERROR(IF(INDEX(AC$14:AC$18,MATCH($E200,$AB$14:$AB$18,0))&lt;&gt;0,INDEX(AC$14:AC$18,MATCH($E200,$AB$14:$AB$18,0)),
IF($M200="Market",0,IF($L200="HUD FMR",INDEX('Data - Reference'!$B$31:$G$31,MATCH($E200,'Data - Reference'!$B$9:$G$9,0)),INDEX('Data - Reference'!$B$9:$G$31,MATCH($K200,'Data - Reference'!$B$9:$B$31,0),MATCH($E200,'Data - Reference'!$B$9:$G$9,0))))),0)</f>
        <v>0</v>
      </c>
      <c r="Y200" s="71">
        <f>IFERROR(IF(INDEX(AD$14:AD$18,MATCH($E200,$AB$14:$AB$18,0))&lt;&gt;0,INDEX(AD$14:AD$18,MATCH($E200,$AB$14:$AB$18,0)),
IF($K200="None - Market",0,-INDEX('Data - Reference'!$B$32:$G$32,MATCH($E200,'Data - Reference'!$B$9:$G$9,0)))),0)</f>
        <v>0</v>
      </c>
      <c r="Z200" s="74">
        <f t="shared" si="48"/>
        <v>0</v>
      </c>
      <c r="AA200" s="67">
        <f t="shared" si="55"/>
        <v>0</v>
      </c>
      <c r="AB200" s="97">
        <f t="shared" si="56"/>
        <v>0</v>
      </c>
      <c r="AC200" s="82">
        <f t="shared" si="5"/>
        <v>0</v>
      </c>
      <c r="AD200" s="83">
        <f t="shared" si="57"/>
        <v>0</v>
      </c>
      <c r="AE200" s="97">
        <f t="shared" si="58"/>
        <v>0</v>
      </c>
      <c r="AF200" s="415" t="str">
        <f t="shared" si="49"/>
        <v>NA</v>
      </c>
      <c r="AG200" s="420" t="str">
        <f t="shared" si="59"/>
        <v>NA</v>
      </c>
      <c r="AH200" s="420" t="str">
        <f t="shared" si="60"/>
        <v>NA</v>
      </c>
      <c r="AI200" s="417" t="str">
        <f t="shared" si="46"/>
        <v>NA</v>
      </c>
      <c r="AJ200" s="417" t="str">
        <f t="shared" si="61"/>
        <v>NA</v>
      </c>
      <c r="AK200" s="524" t="str">
        <f>IFERROR(INDEX('Legacy Resident Reference'!R:R,MATCH('Unit Summary - Rent Roll'!AJ200,'Legacy Resident Reference'!P:P,0)),"NA")</f>
        <v>NA</v>
      </c>
    </row>
    <row r="201" spans="2:37" ht="13.8" hidden="1" outlineLevel="1" x14ac:dyDescent="0.3">
      <c r="B201" s="236">
        <v>175</v>
      </c>
      <c r="C201" s="580" t="s">
        <v>143</v>
      </c>
      <c r="D201" s="581"/>
      <c r="E201" s="186" t="s">
        <v>139</v>
      </c>
      <c r="F201" s="187">
        <v>0</v>
      </c>
      <c r="G201" s="239" t="s">
        <v>85</v>
      </c>
      <c r="H201" s="243">
        <v>0</v>
      </c>
      <c r="I201" s="373">
        <f t="shared" si="50"/>
        <v>0</v>
      </c>
      <c r="J201" s="250" t="s">
        <v>139</v>
      </c>
      <c r="K201" s="508" t="s">
        <v>139</v>
      </c>
      <c r="L201" s="399" t="s">
        <v>139</v>
      </c>
      <c r="M201" s="403">
        <v>0</v>
      </c>
      <c r="N201" s="282" t="s">
        <v>139</v>
      </c>
      <c r="O201" s="302" t="str">
        <f>IF(OR(M201=0,N201="NA"),"NA",IFERROR(INDEX('Data - Reference'!$B$37:$B$50,MATCH('Unit Summary - Rent Roll'!$M201,INDEX('Data - Reference'!$B$37:$J$50,,MATCH('Unit Summary - Rent Roll'!$N201,'Data - Reference'!$B$37:$J$37,0)),-1),1),"NA"))</f>
        <v>NA</v>
      </c>
      <c r="P201" s="239" t="s">
        <v>85</v>
      </c>
      <c r="Q201" s="239" t="s">
        <v>85</v>
      </c>
      <c r="R201" s="188">
        <v>0</v>
      </c>
      <c r="S201" s="364">
        <f t="shared" si="51"/>
        <v>0</v>
      </c>
      <c r="T201" s="97">
        <f t="shared" si="52"/>
        <v>0</v>
      </c>
      <c r="U201" s="188">
        <v>0</v>
      </c>
      <c r="V201" s="364">
        <f t="shared" si="53"/>
        <v>0</v>
      </c>
      <c r="W201" s="97">
        <f t="shared" si="54"/>
        <v>0</v>
      </c>
      <c r="X201" s="71">
        <f>IFERROR(IF(INDEX(AC$14:AC$18,MATCH($E201,$AB$14:$AB$18,0))&lt;&gt;0,INDEX(AC$14:AC$18,MATCH($E201,$AB$14:$AB$18,0)),
IF($M201="Market",0,IF($L201="HUD FMR",INDEX('Data - Reference'!$B$31:$G$31,MATCH($E201,'Data - Reference'!$B$9:$G$9,0)),INDEX('Data - Reference'!$B$9:$G$31,MATCH($K201,'Data - Reference'!$B$9:$B$31,0),MATCH($E201,'Data - Reference'!$B$9:$G$9,0))))),0)</f>
        <v>0</v>
      </c>
      <c r="Y201" s="71">
        <f>IFERROR(IF(INDEX(AD$14:AD$18,MATCH($E201,$AB$14:$AB$18,0))&lt;&gt;0,INDEX(AD$14:AD$18,MATCH($E201,$AB$14:$AB$18,0)),
IF($K201="None - Market",0,-INDEX('Data - Reference'!$B$32:$G$32,MATCH($E201,'Data - Reference'!$B$9:$G$9,0)))),0)</f>
        <v>0</v>
      </c>
      <c r="Z201" s="74">
        <f t="shared" si="48"/>
        <v>0</v>
      </c>
      <c r="AA201" s="67">
        <f t="shared" si="55"/>
        <v>0</v>
      </c>
      <c r="AB201" s="97">
        <f t="shared" si="56"/>
        <v>0</v>
      </c>
      <c r="AC201" s="82">
        <f t="shared" si="5"/>
        <v>0</v>
      </c>
      <c r="AD201" s="83">
        <f t="shared" si="57"/>
        <v>0</v>
      </c>
      <c r="AE201" s="97">
        <f t="shared" si="58"/>
        <v>0</v>
      </c>
      <c r="AF201" s="415" t="str">
        <f t="shared" si="49"/>
        <v>NA</v>
      </c>
      <c r="AG201" s="420" t="str">
        <f t="shared" si="59"/>
        <v>NA</v>
      </c>
      <c r="AH201" s="420" t="str">
        <f t="shared" si="60"/>
        <v>NA</v>
      </c>
      <c r="AI201" s="417" t="str">
        <f t="shared" si="46"/>
        <v>NA</v>
      </c>
      <c r="AJ201" s="417" t="str">
        <f t="shared" si="61"/>
        <v>NA</v>
      </c>
      <c r="AK201" s="524" t="str">
        <f>IFERROR(INDEX('Legacy Resident Reference'!R:R,MATCH('Unit Summary - Rent Roll'!AJ201,'Legacy Resident Reference'!P:P,0)),"NA")</f>
        <v>NA</v>
      </c>
    </row>
    <row r="202" spans="2:37" ht="13.8" hidden="1" outlineLevel="1" x14ac:dyDescent="0.3">
      <c r="B202" s="236">
        <v>176</v>
      </c>
      <c r="C202" s="580" t="s">
        <v>143</v>
      </c>
      <c r="D202" s="581"/>
      <c r="E202" s="186" t="s">
        <v>139</v>
      </c>
      <c r="F202" s="187">
        <v>0</v>
      </c>
      <c r="G202" s="239" t="s">
        <v>85</v>
      </c>
      <c r="H202" s="243">
        <v>0</v>
      </c>
      <c r="I202" s="373">
        <f t="shared" si="50"/>
        <v>0</v>
      </c>
      <c r="J202" s="250" t="s">
        <v>139</v>
      </c>
      <c r="K202" s="508" t="s">
        <v>139</v>
      </c>
      <c r="L202" s="399" t="s">
        <v>139</v>
      </c>
      <c r="M202" s="403">
        <v>0</v>
      </c>
      <c r="N202" s="282" t="s">
        <v>139</v>
      </c>
      <c r="O202" s="302" t="str">
        <f>IF(OR(M202=0,N202="NA"),"NA",IFERROR(INDEX('Data - Reference'!$B$37:$B$50,MATCH('Unit Summary - Rent Roll'!$M202,INDEX('Data - Reference'!$B$37:$J$50,,MATCH('Unit Summary - Rent Roll'!$N202,'Data - Reference'!$B$37:$J$37,0)),-1),1),"NA"))</f>
        <v>NA</v>
      </c>
      <c r="P202" s="239" t="s">
        <v>85</v>
      </c>
      <c r="Q202" s="239" t="s">
        <v>85</v>
      </c>
      <c r="R202" s="188">
        <v>0</v>
      </c>
      <c r="S202" s="364">
        <f t="shared" si="51"/>
        <v>0</v>
      </c>
      <c r="T202" s="97">
        <f t="shared" si="52"/>
        <v>0</v>
      </c>
      <c r="U202" s="188">
        <v>0</v>
      </c>
      <c r="V202" s="364">
        <f t="shared" si="53"/>
        <v>0</v>
      </c>
      <c r="W202" s="97">
        <f t="shared" si="54"/>
        <v>0</v>
      </c>
      <c r="X202" s="71">
        <f>IFERROR(IF(INDEX(AC$14:AC$18,MATCH($E202,$AB$14:$AB$18,0))&lt;&gt;0,INDEX(AC$14:AC$18,MATCH($E202,$AB$14:$AB$18,0)),
IF($M202="Market",0,IF($L202="HUD FMR",INDEX('Data - Reference'!$B$31:$G$31,MATCH($E202,'Data - Reference'!$B$9:$G$9,0)),INDEX('Data - Reference'!$B$9:$G$31,MATCH($K202,'Data - Reference'!$B$9:$B$31,0),MATCH($E202,'Data - Reference'!$B$9:$G$9,0))))),0)</f>
        <v>0</v>
      </c>
      <c r="Y202" s="71">
        <f>IFERROR(IF(INDEX(AD$14:AD$18,MATCH($E202,$AB$14:$AB$18,0))&lt;&gt;0,INDEX(AD$14:AD$18,MATCH($E202,$AB$14:$AB$18,0)),
IF($K202="None - Market",0,-INDEX('Data - Reference'!$B$32:$G$32,MATCH($E202,'Data - Reference'!$B$9:$G$9,0)))),0)</f>
        <v>0</v>
      </c>
      <c r="Z202" s="74">
        <f t="shared" si="48"/>
        <v>0</v>
      </c>
      <c r="AA202" s="67">
        <f t="shared" si="55"/>
        <v>0</v>
      </c>
      <c r="AB202" s="97">
        <f t="shared" si="56"/>
        <v>0</v>
      </c>
      <c r="AC202" s="82">
        <f t="shared" si="5"/>
        <v>0</v>
      </c>
      <c r="AD202" s="83">
        <f t="shared" si="57"/>
        <v>0</v>
      </c>
      <c r="AE202" s="97">
        <f t="shared" si="58"/>
        <v>0</v>
      </c>
      <c r="AF202" s="415" t="str">
        <f t="shared" si="49"/>
        <v>NA</v>
      </c>
      <c r="AG202" s="420" t="str">
        <f t="shared" si="59"/>
        <v>NA</v>
      </c>
      <c r="AH202" s="420" t="str">
        <f t="shared" si="60"/>
        <v>NA</v>
      </c>
      <c r="AI202" s="417" t="str">
        <f t="shared" si="46"/>
        <v>NA</v>
      </c>
      <c r="AJ202" s="417" t="str">
        <f t="shared" si="61"/>
        <v>NA</v>
      </c>
      <c r="AK202" s="524" t="str">
        <f>IFERROR(INDEX('Legacy Resident Reference'!R:R,MATCH('Unit Summary - Rent Roll'!AJ202,'Legacy Resident Reference'!P:P,0)),"NA")</f>
        <v>NA</v>
      </c>
    </row>
    <row r="203" spans="2:37" ht="13.8" hidden="1" outlineLevel="1" x14ac:dyDescent="0.3">
      <c r="B203" s="236">
        <v>177</v>
      </c>
      <c r="C203" s="580" t="s">
        <v>143</v>
      </c>
      <c r="D203" s="581"/>
      <c r="E203" s="186" t="s">
        <v>139</v>
      </c>
      <c r="F203" s="187">
        <v>0</v>
      </c>
      <c r="G203" s="239" t="s">
        <v>85</v>
      </c>
      <c r="H203" s="243">
        <v>0</v>
      </c>
      <c r="I203" s="373">
        <f t="shared" si="50"/>
        <v>0</v>
      </c>
      <c r="J203" s="250" t="s">
        <v>139</v>
      </c>
      <c r="K203" s="508" t="s">
        <v>139</v>
      </c>
      <c r="L203" s="399" t="s">
        <v>139</v>
      </c>
      <c r="M203" s="403">
        <v>0</v>
      </c>
      <c r="N203" s="282" t="s">
        <v>139</v>
      </c>
      <c r="O203" s="302" t="str">
        <f>IF(OR(M203=0,N203="NA"),"NA",IFERROR(INDEX('Data - Reference'!$B$37:$B$50,MATCH('Unit Summary - Rent Roll'!$M203,INDEX('Data - Reference'!$B$37:$J$50,,MATCH('Unit Summary - Rent Roll'!$N203,'Data - Reference'!$B$37:$J$37,0)),-1),1),"NA"))</f>
        <v>NA</v>
      </c>
      <c r="P203" s="239" t="s">
        <v>85</v>
      </c>
      <c r="Q203" s="239" t="s">
        <v>85</v>
      </c>
      <c r="R203" s="188">
        <v>0</v>
      </c>
      <c r="S203" s="364">
        <f t="shared" si="51"/>
        <v>0</v>
      </c>
      <c r="T203" s="97">
        <f t="shared" si="52"/>
        <v>0</v>
      </c>
      <c r="U203" s="188">
        <v>0</v>
      </c>
      <c r="V203" s="364">
        <f t="shared" si="53"/>
        <v>0</v>
      </c>
      <c r="W203" s="97">
        <f t="shared" si="54"/>
        <v>0</v>
      </c>
      <c r="X203" s="71">
        <f>IFERROR(IF(INDEX(AC$14:AC$18,MATCH($E203,$AB$14:$AB$18,0))&lt;&gt;0,INDEX(AC$14:AC$18,MATCH($E203,$AB$14:$AB$18,0)),
IF($M203="Market",0,IF($L203="HUD FMR",INDEX('Data - Reference'!$B$31:$G$31,MATCH($E203,'Data - Reference'!$B$9:$G$9,0)),INDEX('Data - Reference'!$B$9:$G$31,MATCH($K203,'Data - Reference'!$B$9:$B$31,0),MATCH($E203,'Data - Reference'!$B$9:$G$9,0))))),0)</f>
        <v>0</v>
      </c>
      <c r="Y203" s="71">
        <f>IFERROR(IF(INDEX(AD$14:AD$18,MATCH($E203,$AB$14:$AB$18,0))&lt;&gt;0,INDEX(AD$14:AD$18,MATCH($E203,$AB$14:$AB$18,0)),
IF($K203="None - Market",0,-INDEX('Data - Reference'!$B$32:$G$32,MATCH($E203,'Data - Reference'!$B$9:$G$9,0)))),0)</f>
        <v>0</v>
      </c>
      <c r="Z203" s="74">
        <f t="shared" si="48"/>
        <v>0</v>
      </c>
      <c r="AA203" s="67">
        <f t="shared" si="55"/>
        <v>0</v>
      </c>
      <c r="AB203" s="97">
        <f t="shared" si="56"/>
        <v>0</v>
      </c>
      <c r="AC203" s="82">
        <f t="shared" si="5"/>
        <v>0</v>
      </c>
      <c r="AD203" s="83">
        <f t="shared" si="57"/>
        <v>0</v>
      </c>
      <c r="AE203" s="97">
        <f t="shared" si="58"/>
        <v>0</v>
      </c>
      <c r="AF203" s="415" t="str">
        <f t="shared" si="49"/>
        <v>NA</v>
      </c>
      <c r="AG203" s="420" t="str">
        <f t="shared" si="59"/>
        <v>NA</v>
      </c>
      <c r="AH203" s="420" t="str">
        <f t="shared" si="60"/>
        <v>NA</v>
      </c>
      <c r="AI203" s="417" t="str">
        <f t="shared" si="46"/>
        <v>NA</v>
      </c>
      <c r="AJ203" s="417" t="str">
        <f t="shared" si="61"/>
        <v>NA</v>
      </c>
      <c r="AK203" s="524" t="str">
        <f>IFERROR(INDEX('Legacy Resident Reference'!R:R,MATCH('Unit Summary - Rent Roll'!AJ203,'Legacy Resident Reference'!P:P,0)),"NA")</f>
        <v>NA</v>
      </c>
    </row>
    <row r="204" spans="2:37" ht="13.8" hidden="1" outlineLevel="1" x14ac:dyDescent="0.3">
      <c r="B204" s="236">
        <v>178</v>
      </c>
      <c r="C204" s="580" t="s">
        <v>143</v>
      </c>
      <c r="D204" s="581"/>
      <c r="E204" s="186" t="s">
        <v>139</v>
      </c>
      <c r="F204" s="187">
        <v>0</v>
      </c>
      <c r="G204" s="239" t="s">
        <v>85</v>
      </c>
      <c r="H204" s="243">
        <v>0</v>
      </c>
      <c r="I204" s="373">
        <f t="shared" si="50"/>
        <v>0</v>
      </c>
      <c r="J204" s="250" t="s">
        <v>139</v>
      </c>
      <c r="K204" s="508" t="s">
        <v>139</v>
      </c>
      <c r="L204" s="399" t="s">
        <v>139</v>
      </c>
      <c r="M204" s="403">
        <v>0</v>
      </c>
      <c r="N204" s="282" t="s">
        <v>139</v>
      </c>
      <c r="O204" s="302" t="str">
        <f>IF(OR(M204=0,N204="NA"),"NA",IFERROR(INDEX('Data - Reference'!$B$37:$B$50,MATCH('Unit Summary - Rent Roll'!$M204,INDEX('Data - Reference'!$B$37:$J$50,,MATCH('Unit Summary - Rent Roll'!$N204,'Data - Reference'!$B$37:$J$37,0)),-1),1),"NA"))</f>
        <v>NA</v>
      </c>
      <c r="P204" s="239" t="s">
        <v>85</v>
      </c>
      <c r="Q204" s="239" t="s">
        <v>85</v>
      </c>
      <c r="R204" s="188">
        <v>0</v>
      </c>
      <c r="S204" s="364">
        <f t="shared" si="51"/>
        <v>0</v>
      </c>
      <c r="T204" s="97">
        <f t="shared" si="52"/>
        <v>0</v>
      </c>
      <c r="U204" s="188">
        <v>0</v>
      </c>
      <c r="V204" s="364">
        <f t="shared" si="53"/>
        <v>0</v>
      </c>
      <c r="W204" s="97">
        <f t="shared" si="54"/>
        <v>0</v>
      </c>
      <c r="X204" s="71">
        <f>IFERROR(IF(INDEX(AC$14:AC$18,MATCH($E204,$AB$14:$AB$18,0))&lt;&gt;0,INDEX(AC$14:AC$18,MATCH($E204,$AB$14:$AB$18,0)),
IF($M204="Market",0,IF($L204="HUD FMR",INDEX('Data - Reference'!$B$31:$G$31,MATCH($E204,'Data - Reference'!$B$9:$G$9,0)),INDEX('Data - Reference'!$B$9:$G$31,MATCH($K204,'Data - Reference'!$B$9:$B$31,0),MATCH($E204,'Data - Reference'!$B$9:$G$9,0))))),0)</f>
        <v>0</v>
      </c>
      <c r="Y204" s="71">
        <f>IFERROR(IF(INDEX(AD$14:AD$18,MATCH($E204,$AB$14:$AB$18,0))&lt;&gt;0,INDEX(AD$14:AD$18,MATCH($E204,$AB$14:$AB$18,0)),
IF($K204="None - Market",0,-INDEX('Data - Reference'!$B$32:$G$32,MATCH($E204,'Data - Reference'!$B$9:$G$9,0)))),0)</f>
        <v>0</v>
      </c>
      <c r="Z204" s="74">
        <f t="shared" si="48"/>
        <v>0</v>
      </c>
      <c r="AA204" s="67">
        <f t="shared" si="55"/>
        <v>0</v>
      </c>
      <c r="AB204" s="97">
        <f t="shared" si="56"/>
        <v>0</v>
      </c>
      <c r="AC204" s="82">
        <f t="shared" si="5"/>
        <v>0</v>
      </c>
      <c r="AD204" s="83">
        <f t="shared" si="57"/>
        <v>0</v>
      </c>
      <c r="AE204" s="97">
        <f t="shared" si="58"/>
        <v>0</v>
      </c>
      <c r="AF204" s="415" t="str">
        <f t="shared" si="49"/>
        <v>NA</v>
      </c>
      <c r="AG204" s="420" t="str">
        <f t="shared" si="59"/>
        <v>NA</v>
      </c>
      <c r="AH204" s="420" t="str">
        <f t="shared" si="60"/>
        <v>NA</v>
      </c>
      <c r="AI204" s="417" t="str">
        <f t="shared" si="46"/>
        <v>NA</v>
      </c>
      <c r="AJ204" s="417" t="str">
        <f t="shared" si="61"/>
        <v>NA</v>
      </c>
      <c r="AK204" s="524" t="str">
        <f>IFERROR(INDEX('Legacy Resident Reference'!R:R,MATCH('Unit Summary - Rent Roll'!AJ204,'Legacy Resident Reference'!P:P,0)),"NA")</f>
        <v>NA</v>
      </c>
    </row>
    <row r="205" spans="2:37" ht="13.8" hidden="1" outlineLevel="1" x14ac:dyDescent="0.3">
      <c r="B205" s="236">
        <v>179</v>
      </c>
      <c r="C205" s="580" t="s">
        <v>143</v>
      </c>
      <c r="D205" s="581"/>
      <c r="E205" s="186" t="s">
        <v>139</v>
      </c>
      <c r="F205" s="187">
        <v>0</v>
      </c>
      <c r="G205" s="239" t="s">
        <v>85</v>
      </c>
      <c r="H205" s="243">
        <v>0</v>
      </c>
      <c r="I205" s="373">
        <f t="shared" si="50"/>
        <v>0</v>
      </c>
      <c r="J205" s="250" t="s">
        <v>139</v>
      </c>
      <c r="K205" s="508" t="s">
        <v>139</v>
      </c>
      <c r="L205" s="399" t="s">
        <v>139</v>
      </c>
      <c r="M205" s="403">
        <v>0</v>
      </c>
      <c r="N205" s="282" t="s">
        <v>139</v>
      </c>
      <c r="O205" s="302" t="str">
        <f>IF(OR(M205=0,N205="NA"),"NA",IFERROR(INDEX('Data - Reference'!$B$37:$B$50,MATCH('Unit Summary - Rent Roll'!$M205,INDEX('Data - Reference'!$B$37:$J$50,,MATCH('Unit Summary - Rent Roll'!$N205,'Data - Reference'!$B$37:$J$37,0)),-1),1),"NA"))</f>
        <v>NA</v>
      </c>
      <c r="P205" s="239" t="s">
        <v>85</v>
      </c>
      <c r="Q205" s="239" t="s">
        <v>85</v>
      </c>
      <c r="R205" s="188">
        <v>0</v>
      </c>
      <c r="S205" s="364">
        <f t="shared" si="51"/>
        <v>0</v>
      </c>
      <c r="T205" s="97">
        <f t="shared" si="52"/>
        <v>0</v>
      </c>
      <c r="U205" s="188">
        <v>0</v>
      </c>
      <c r="V205" s="364">
        <f t="shared" si="53"/>
        <v>0</v>
      </c>
      <c r="W205" s="97">
        <f t="shared" si="54"/>
        <v>0</v>
      </c>
      <c r="X205" s="71">
        <f>IFERROR(IF(INDEX(AC$14:AC$18,MATCH($E205,$AB$14:$AB$18,0))&lt;&gt;0,INDEX(AC$14:AC$18,MATCH($E205,$AB$14:$AB$18,0)),
IF($M205="Market",0,IF($L205="HUD FMR",INDEX('Data - Reference'!$B$31:$G$31,MATCH($E205,'Data - Reference'!$B$9:$G$9,0)),INDEX('Data - Reference'!$B$9:$G$31,MATCH($K205,'Data - Reference'!$B$9:$B$31,0),MATCH($E205,'Data - Reference'!$B$9:$G$9,0))))),0)</f>
        <v>0</v>
      </c>
      <c r="Y205" s="71">
        <f>IFERROR(IF(INDEX(AD$14:AD$18,MATCH($E205,$AB$14:$AB$18,0))&lt;&gt;0,INDEX(AD$14:AD$18,MATCH($E205,$AB$14:$AB$18,0)),
IF($K205="None - Market",0,-INDEX('Data - Reference'!$B$32:$G$32,MATCH($E205,'Data - Reference'!$B$9:$G$9,0)))),0)</f>
        <v>0</v>
      </c>
      <c r="Z205" s="74">
        <f t="shared" si="48"/>
        <v>0</v>
      </c>
      <c r="AA205" s="67">
        <f t="shared" si="55"/>
        <v>0</v>
      </c>
      <c r="AB205" s="97">
        <f t="shared" si="56"/>
        <v>0</v>
      </c>
      <c r="AC205" s="82">
        <f t="shared" si="5"/>
        <v>0</v>
      </c>
      <c r="AD205" s="83">
        <f t="shared" si="57"/>
        <v>0</v>
      </c>
      <c r="AE205" s="97">
        <f t="shared" si="58"/>
        <v>0</v>
      </c>
      <c r="AF205" s="415" t="str">
        <f t="shared" si="49"/>
        <v>NA</v>
      </c>
      <c r="AG205" s="420" t="str">
        <f t="shared" si="59"/>
        <v>NA</v>
      </c>
      <c r="AH205" s="420" t="str">
        <f t="shared" si="60"/>
        <v>NA</v>
      </c>
      <c r="AI205" s="417" t="str">
        <f t="shared" si="46"/>
        <v>NA</v>
      </c>
      <c r="AJ205" s="417" t="str">
        <f t="shared" si="61"/>
        <v>NA</v>
      </c>
      <c r="AK205" s="524" t="str">
        <f>IFERROR(INDEX('Legacy Resident Reference'!R:R,MATCH('Unit Summary - Rent Roll'!AJ205,'Legacy Resident Reference'!P:P,0)),"NA")</f>
        <v>NA</v>
      </c>
    </row>
    <row r="206" spans="2:37" ht="13.8" hidden="1" outlineLevel="1" x14ac:dyDescent="0.3">
      <c r="B206" s="236">
        <v>180</v>
      </c>
      <c r="C206" s="580" t="s">
        <v>143</v>
      </c>
      <c r="D206" s="581"/>
      <c r="E206" s="186" t="s">
        <v>139</v>
      </c>
      <c r="F206" s="187">
        <v>0</v>
      </c>
      <c r="G206" s="239" t="s">
        <v>85</v>
      </c>
      <c r="H206" s="243">
        <v>0</v>
      </c>
      <c r="I206" s="373">
        <f t="shared" si="50"/>
        <v>0</v>
      </c>
      <c r="J206" s="250" t="s">
        <v>139</v>
      </c>
      <c r="K206" s="508" t="s">
        <v>139</v>
      </c>
      <c r="L206" s="399" t="s">
        <v>139</v>
      </c>
      <c r="M206" s="403">
        <v>0</v>
      </c>
      <c r="N206" s="282" t="s">
        <v>139</v>
      </c>
      <c r="O206" s="302" t="str">
        <f>IF(OR(M206=0,N206="NA"),"NA",IFERROR(INDEX('Data - Reference'!$B$37:$B$50,MATCH('Unit Summary - Rent Roll'!$M206,INDEX('Data - Reference'!$B$37:$J$50,,MATCH('Unit Summary - Rent Roll'!$N206,'Data - Reference'!$B$37:$J$37,0)),-1),1),"NA"))</f>
        <v>NA</v>
      </c>
      <c r="P206" s="239" t="s">
        <v>85</v>
      </c>
      <c r="Q206" s="239" t="s">
        <v>85</v>
      </c>
      <c r="R206" s="188">
        <v>0</v>
      </c>
      <c r="S206" s="364">
        <f t="shared" si="51"/>
        <v>0</v>
      </c>
      <c r="T206" s="97">
        <f t="shared" si="52"/>
        <v>0</v>
      </c>
      <c r="U206" s="188">
        <v>0</v>
      </c>
      <c r="V206" s="364">
        <f t="shared" si="53"/>
        <v>0</v>
      </c>
      <c r="W206" s="97">
        <f t="shared" si="54"/>
        <v>0</v>
      </c>
      <c r="X206" s="71">
        <f>IFERROR(IF(INDEX(AC$14:AC$18,MATCH($E206,$AB$14:$AB$18,0))&lt;&gt;0,INDEX(AC$14:AC$18,MATCH($E206,$AB$14:$AB$18,0)),
IF($M206="Market",0,IF($L206="HUD FMR",INDEX('Data - Reference'!$B$31:$G$31,MATCH($E206,'Data - Reference'!$B$9:$G$9,0)),INDEX('Data - Reference'!$B$9:$G$31,MATCH($K206,'Data - Reference'!$B$9:$B$31,0),MATCH($E206,'Data - Reference'!$B$9:$G$9,0))))),0)</f>
        <v>0</v>
      </c>
      <c r="Y206" s="71">
        <f>IFERROR(IF(INDEX(AD$14:AD$18,MATCH($E206,$AB$14:$AB$18,0))&lt;&gt;0,INDEX(AD$14:AD$18,MATCH($E206,$AB$14:$AB$18,0)),
IF($K206="None - Market",0,-INDEX('Data - Reference'!$B$32:$G$32,MATCH($E206,'Data - Reference'!$B$9:$G$9,0)))),0)</f>
        <v>0</v>
      </c>
      <c r="Z206" s="74">
        <f t="shared" si="48"/>
        <v>0</v>
      </c>
      <c r="AA206" s="67">
        <f t="shared" si="55"/>
        <v>0</v>
      </c>
      <c r="AB206" s="97">
        <f t="shared" si="56"/>
        <v>0</v>
      </c>
      <c r="AC206" s="82">
        <f t="shared" si="5"/>
        <v>0</v>
      </c>
      <c r="AD206" s="83">
        <f t="shared" si="57"/>
        <v>0</v>
      </c>
      <c r="AE206" s="97">
        <f t="shared" si="58"/>
        <v>0</v>
      </c>
      <c r="AF206" s="415" t="str">
        <f t="shared" si="49"/>
        <v>NA</v>
      </c>
      <c r="AG206" s="420" t="str">
        <f t="shared" si="59"/>
        <v>NA</v>
      </c>
      <c r="AH206" s="420" t="str">
        <f t="shared" si="60"/>
        <v>NA</v>
      </c>
      <c r="AI206" s="417" t="str">
        <f t="shared" si="46"/>
        <v>NA</v>
      </c>
      <c r="AJ206" s="417" t="str">
        <f t="shared" si="61"/>
        <v>NA</v>
      </c>
      <c r="AK206" s="524" t="str">
        <f>IFERROR(INDEX('Legacy Resident Reference'!R:R,MATCH('Unit Summary - Rent Roll'!AJ206,'Legacy Resident Reference'!P:P,0)),"NA")</f>
        <v>NA</v>
      </c>
    </row>
    <row r="207" spans="2:37" ht="13.8" hidden="1" outlineLevel="1" x14ac:dyDescent="0.3">
      <c r="B207" s="236">
        <v>181</v>
      </c>
      <c r="C207" s="580" t="s">
        <v>143</v>
      </c>
      <c r="D207" s="581"/>
      <c r="E207" s="186" t="s">
        <v>139</v>
      </c>
      <c r="F207" s="187">
        <v>0</v>
      </c>
      <c r="G207" s="239" t="s">
        <v>85</v>
      </c>
      <c r="H207" s="243">
        <v>0</v>
      </c>
      <c r="I207" s="373">
        <f t="shared" si="50"/>
        <v>0</v>
      </c>
      <c r="J207" s="250" t="s">
        <v>139</v>
      </c>
      <c r="K207" s="508" t="s">
        <v>139</v>
      </c>
      <c r="L207" s="399" t="s">
        <v>139</v>
      </c>
      <c r="M207" s="403">
        <v>0</v>
      </c>
      <c r="N207" s="282" t="s">
        <v>139</v>
      </c>
      <c r="O207" s="302" t="str">
        <f>IF(OR(M207=0,N207="NA"),"NA",IFERROR(INDEX('Data - Reference'!$B$37:$B$50,MATCH('Unit Summary - Rent Roll'!$M207,INDEX('Data - Reference'!$B$37:$J$50,,MATCH('Unit Summary - Rent Roll'!$N207,'Data - Reference'!$B$37:$J$37,0)),-1),1),"NA"))</f>
        <v>NA</v>
      </c>
      <c r="P207" s="239" t="s">
        <v>85</v>
      </c>
      <c r="Q207" s="239" t="s">
        <v>85</v>
      </c>
      <c r="R207" s="188">
        <v>0</v>
      </c>
      <c r="S207" s="364">
        <f t="shared" si="51"/>
        <v>0</v>
      </c>
      <c r="T207" s="97">
        <f t="shared" si="52"/>
        <v>0</v>
      </c>
      <c r="U207" s="188">
        <v>0</v>
      </c>
      <c r="V207" s="364">
        <f t="shared" si="53"/>
        <v>0</v>
      </c>
      <c r="W207" s="97">
        <f t="shared" si="54"/>
        <v>0</v>
      </c>
      <c r="X207" s="71">
        <f>IFERROR(IF(INDEX(AC$14:AC$18,MATCH($E207,$AB$14:$AB$18,0))&lt;&gt;0,INDEX(AC$14:AC$18,MATCH($E207,$AB$14:$AB$18,0)),
IF($M207="Market",0,IF($L207="HUD FMR",INDEX('Data - Reference'!$B$31:$G$31,MATCH($E207,'Data - Reference'!$B$9:$G$9,0)),INDEX('Data - Reference'!$B$9:$G$31,MATCH($K207,'Data - Reference'!$B$9:$B$31,0),MATCH($E207,'Data - Reference'!$B$9:$G$9,0))))),0)</f>
        <v>0</v>
      </c>
      <c r="Y207" s="71">
        <f>IFERROR(IF(INDEX(AD$14:AD$18,MATCH($E207,$AB$14:$AB$18,0))&lt;&gt;0,INDEX(AD$14:AD$18,MATCH($E207,$AB$14:$AB$18,0)),
IF($K207="None - Market",0,-INDEX('Data - Reference'!$B$32:$G$32,MATCH($E207,'Data - Reference'!$B$9:$G$9,0)))),0)</f>
        <v>0</v>
      </c>
      <c r="Z207" s="74">
        <f t="shared" si="48"/>
        <v>0</v>
      </c>
      <c r="AA207" s="67">
        <f t="shared" si="55"/>
        <v>0</v>
      </c>
      <c r="AB207" s="97">
        <f t="shared" si="56"/>
        <v>0</v>
      </c>
      <c r="AC207" s="82">
        <f t="shared" si="5"/>
        <v>0</v>
      </c>
      <c r="AD207" s="83">
        <f t="shared" si="57"/>
        <v>0</v>
      </c>
      <c r="AE207" s="97">
        <f t="shared" si="58"/>
        <v>0</v>
      </c>
      <c r="AF207" s="415" t="str">
        <f t="shared" si="49"/>
        <v>NA</v>
      </c>
      <c r="AG207" s="420" t="str">
        <f t="shared" si="59"/>
        <v>NA</v>
      </c>
      <c r="AH207" s="420" t="str">
        <f t="shared" si="60"/>
        <v>NA</v>
      </c>
      <c r="AI207" s="417" t="str">
        <f t="shared" si="46"/>
        <v>NA</v>
      </c>
      <c r="AJ207" s="417" t="str">
        <f t="shared" si="61"/>
        <v>NA</v>
      </c>
      <c r="AK207" s="524" t="str">
        <f>IFERROR(INDEX('Legacy Resident Reference'!R:R,MATCH('Unit Summary - Rent Roll'!AJ207,'Legacy Resident Reference'!P:P,0)),"NA")</f>
        <v>NA</v>
      </c>
    </row>
    <row r="208" spans="2:37" ht="13.8" hidden="1" outlineLevel="1" x14ac:dyDescent="0.3">
      <c r="B208" s="236">
        <v>182</v>
      </c>
      <c r="C208" s="580" t="s">
        <v>143</v>
      </c>
      <c r="D208" s="581"/>
      <c r="E208" s="186" t="s">
        <v>139</v>
      </c>
      <c r="F208" s="187">
        <v>0</v>
      </c>
      <c r="G208" s="239" t="s">
        <v>85</v>
      </c>
      <c r="H208" s="243">
        <v>0</v>
      </c>
      <c r="I208" s="373">
        <f t="shared" si="50"/>
        <v>0</v>
      </c>
      <c r="J208" s="250" t="s">
        <v>139</v>
      </c>
      <c r="K208" s="508" t="s">
        <v>139</v>
      </c>
      <c r="L208" s="399" t="s">
        <v>139</v>
      </c>
      <c r="M208" s="403">
        <v>0</v>
      </c>
      <c r="N208" s="282" t="s">
        <v>139</v>
      </c>
      <c r="O208" s="302" t="str">
        <f>IF(OR(M208=0,N208="NA"),"NA",IFERROR(INDEX('Data - Reference'!$B$37:$B$50,MATCH('Unit Summary - Rent Roll'!$M208,INDEX('Data - Reference'!$B$37:$J$50,,MATCH('Unit Summary - Rent Roll'!$N208,'Data - Reference'!$B$37:$J$37,0)),-1),1),"NA"))</f>
        <v>NA</v>
      </c>
      <c r="P208" s="239" t="s">
        <v>85</v>
      </c>
      <c r="Q208" s="239" t="s">
        <v>85</v>
      </c>
      <c r="R208" s="188">
        <v>0</v>
      </c>
      <c r="S208" s="364">
        <f t="shared" si="51"/>
        <v>0</v>
      </c>
      <c r="T208" s="97">
        <f t="shared" si="52"/>
        <v>0</v>
      </c>
      <c r="U208" s="188">
        <v>0</v>
      </c>
      <c r="V208" s="364">
        <f t="shared" si="53"/>
        <v>0</v>
      </c>
      <c r="W208" s="97">
        <f t="shared" si="54"/>
        <v>0</v>
      </c>
      <c r="X208" s="71">
        <f>IFERROR(IF(INDEX(AC$14:AC$18,MATCH($E208,$AB$14:$AB$18,0))&lt;&gt;0,INDEX(AC$14:AC$18,MATCH($E208,$AB$14:$AB$18,0)),
IF($M208="Market",0,IF($L208="HUD FMR",INDEX('Data - Reference'!$B$31:$G$31,MATCH($E208,'Data - Reference'!$B$9:$G$9,0)),INDEX('Data - Reference'!$B$9:$G$31,MATCH($K208,'Data - Reference'!$B$9:$B$31,0),MATCH($E208,'Data - Reference'!$B$9:$G$9,0))))),0)</f>
        <v>0</v>
      </c>
      <c r="Y208" s="71">
        <f>IFERROR(IF(INDEX(AD$14:AD$18,MATCH($E208,$AB$14:$AB$18,0))&lt;&gt;0,INDEX(AD$14:AD$18,MATCH($E208,$AB$14:$AB$18,0)),
IF($K208="None - Market",0,-INDEX('Data - Reference'!$B$32:$G$32,MATCH($E208,'Data - Reference'!$B$9:$G$9,0)))),0)</f>
        <v>0</v>
      </c>
      <c r="Z208" s="74">
        <f t="shared" si="48"/>
        <v>0</v>
      </c>
      <c r="AA208" s="67">
        <f t="shared" si="55"/>
        <v>0</v>
      </c>
      <c r="AB208" s="97">
        <f t="shared" si="56"/>
        <v>0</v>
      </c>
      <c r="AC208" s="82">
        <f t="shared" si="5"/>
        <v>0</v>
      </c>
      <c r="AD208" s="83">
        <f t="shared" si="57"/>
        <v>0</v>
      </c>
      <c r="AE208" s="97">
        <f t="shared" si="58"/>
        <v>0</v>
      </c>
      <c r="AF208" s="415" t="str">
        <f t="shared" si="49"/>
        <v>NA</v>
      </c>
      <c r="AG208" s="420" t="str">
        <f t="shared" si="59"/>
        <v>NA</v>
      </c>
      <c r="AH208" s="420" t="str">
        <f t="shared" si="60"/>
        <v>NA</v>
      </c>
      <c r="AI208" s="417" t="str">
        <f t="shared" si="46"/>
        <v>NA</v>
      </c>
      <c r="AJ208" s="417" t="str">
        <f t="shared" si="61"/>
        <v>NA</v>
      </c>
      <c r="AK208" s="524" t="str">
        <f>IFERROR(INDEX('Legacy Resident Reference'!R:R,MATCH('Unit Summary - Rent Roll'!AJ208,'Legacy Resident Reference'!P:P,0)),"NA")</f>
        <v>NA</v>
      </c>
    </row>
    <row r="209" spans="2:37" ht="13.8" hidden="1" outlineLevel="1" x14ac:dyDescent="0.3">
      <c r="B209" s="236">
        <v>183</v>
      </c>
      <c r="C209" s="580" t="s">
        <v>143</v>
      </c>
      <c r="D209" s="581"/>
      <c r="E209" s="186" t="s">
        <v>139</v>
      </c>
      <c r="F209" s="187">
        <v>0</v>
      </c>
      <c r="G209" s="239" t="s">
        <v>85</v>
      </c>
      <c r="H209" s="243">
        <v>0</v>
      </c>
      <c r="I209" s="373">
        <f t="shared" si="50"/>
        <v>0</v>
      </c>
      <c r="J209" s="250" t="s">
        <v>139</v>
      </c>
      <c r="K209" s="508" t="s">
        <v>139</v>
      </c>
      <c r="L209" s="399" t="s">
        <v>139</v>
      </c>
      <c r="M209" s="403">
        <v>0</v>
      </c>
      <c r="N209" s="282" t="s">
        <v>139</v>
      </c>
      <c r="O209" s="302" t="str">
        <f>IF(OR(M209=0,N209="NA"),"NA",IFERROR(INDEX('Data - Reference'!$B$37:$B$50,MATCH('Unit Summary - Rent Roll'!$M209,INDEX('Data - Reference'!$B$37:$J$50,,MATCH('Unit Summary - Rent Roll'!$N209,'Data - Reference'!$B$37:$J$37,0)),-1),1),"NA"))</f>
        <v>NA</v>
      </c>
      <c r="P209" s="239" t="s">
        <v>85</v>
      </c>
      <c r="Q209" s="239" t="s">
        <v>85</v>
      </c>
      <c r="R209" s="188">
        <v>0</v>
      </c>
      <c r="S209" s="364">
        <f t="shared" si="51"/>
        <v>0</v>
      </c>
      <c r="T209" s="97">
        <f t="shared" si="52"/>
        <v>0</v>
      </c>
      <c r="U209" s="188">
        <v>0</v>
      </c>
      <c r="V209" s="364">
        <f t="shared" si="53"/>
        <v>0</v>
      </c>
      <c r="W209" s="97">
        <f t="shared" si="54"/>
        <v>0</v>
      </c>
      <c r="X209" s="71">
        <f>IFERROR(IF(INDEX(AC$14:AC$18,MATCH($E209,$AB$14:$AB$18,0))&lt;&gt;0,INDEX(AC$14:AC$18,MATCH($E209,$AB$14:$AB$18,0)),
IF($M209="Market",0,IF($L209="HUD FMR",INDEX('Data - Reference'!$B$31:$G$31,MATCH($E209,'Data - Reference'!$B$9:$G$9,0)),INDEX('Data - Reference'!$B$9:$G$31,MATCH($K209,'Data - Reference'!$B$9:$B$31,0),MATCH($E209,'Data - Reference'!$B$9:$G$9,0))))),0)</f>
        <v>0</v>
      </c>
      <c r="Y209" s="71">
        <f>IFERROR(IF(INDEX(AD$14:AD$18,MATCH($E209,$AB$14:$AB$18,0))&lt;&gt;0,INDEX(AD$14:AD$18,MATCH($E209,$AB$14:$AB$18,0)),
IF($K209="None - Market",0,-INDEX('Data - Reference'!$B$32:$G$32,MATCH($E209,'Data - Reference'!$B$9:$G$9,0)))),0)</f>
        <v>0</v>
      </c>
      <c r="Z209" s="74">
        <f t="shared" si="48"/>
        <v>0</v>
      </c>
      <c r="AA209" s="67">
        <f t="shared" si="55"/>
        <v>0</v>
      </c>
      <c r="AB209" s="97">
        <f t="shared" si="56"/>
        <v>0</v>
      </c>
      <c r="AC209" s="82">
        <f t="shared" si="5"/>
        <v>0</v>
      </c>
      <c r="AD209" s="83">
        <f t="shared" si="57"/>
        <v>0</v>
      </c>
      <c r="AE209" s="97">
        <f t="shared" si="58"/>
        <v>0</v>
      </c>
      <c r="AF209" s="415" t="str">
        <f t="shared" si="49"/>
        <v>NA</v>
      </c>
      <c r="AG209" s="420" t="str">
        <f t="shared" si="59"/>
        <v>NA</v>
      </c>
      <c r="AH209" s="420" t="str">
        <f t="shared" si="60"/>
        <v>NA</v>
      </c>
      <c r="AI209" s="417" t="str">
        <f t="shared" si="46"/>
        <v>NA</v>
      </c>
      <c r="AJ209" s="417" t="str">
        <f t="shared" si="61"/>
        <v>NA</v>
      </c>
      <c r="AK209" s="524" t="str">
        <f>IFERROR(INDEX('Legacy Resident Reference'!R:R,MATCH('Unit Summary - Rent Roll'!AJ209,'Legacy Resident Reference'!P:P,0)),"NA")</f>
        <v>NA</v>
      </c>
    </row>
    <row r="210" spans="2:37" ht="13.8" hidden="1" outlineLevel="1" x14ac:dyDescent="0.3">
      <c r="B210" s="236">
        <v>184</v>
      </c>
      <c r="C210" s="580" t="s">
        <v>143</v>
      </c>
      <c r="D210" s="581"/>
      <c r="E210" s="186" t="s">
        <v>139</v>
      </c>
      <c r="F210" s="187">
        <v>0</v>
      </c>
      <c r="G210" s="239" t="s">
        <v>85</v>
      </c>
      <c r="H210" s="243">
        <v>0</v>
      </c>
      <c r="I210" s="373">
        <f t="shared" si="50"/>
        <v>0</v>
      </c>
      <c r="J210" s="250" t="s">
        <v>139</v>
      </c>
      <c r="K210" s="508" t="s">
        <v>139</v>
      </c>
      <c r="L210" s="399" t="s">
        <v>139</v>
      </c>
      <c r="M210" s="403">
        <v>0</v>
      </c>
      <c r="N210" s="282" t="s">
        <v>139</v>
      </c>
      <c r="O210" s="302" t="str">
        <f>IF(OR(M210=0,N210="NA"),"NA",IFERROR(INDEX('Data - Reference'!$B$37:$B$50,MATCH('Unit Summary - Rent Roll'!$M210,INDEX('Data - Reference'!$B$37:$J$50,,MATCH('Unit Summary - Rent Roll'!$N210,'Data - Reference'!$B$37:$J$37,0)),-1),1),"NA"))</f>
        <v>NA</v>
      </c>
      <c r="P210" s="239" t="s">
        <v>85</v>
      </c>
      <c r="Q210" s="239" t="s">
        <v>85</v>
      </c>
      <c r="R210" s="188">
        <v>0</v>
      </c>
      <c r="S210" s="364">
        <f t="shared" si="51"/>
        <v>0</v>
      </c>
      <c r="T210" s="97">
        <f t="shared" si="52"/>
        <v>0</v>
      </c>
      <c r="U210" s="188">
        <v>0</v>
      </c>
      <c r="V210" s="364">
        <f t="shared" si="53"/>
        <v>0</v>
      </c>
      <c r="W210" s="97">
        <f t="shared" si="54"/>
        <v>0</v>
      </c>
      <c r="X210" s="71">
        <f>IFERROR(IF(INDEX(AC$14:AC$18,MATCH($E210,$AB$14:$AB$18,0))&lt;&gt;0,INDEX(AC$14:AC$18,MATCH($E210,$AB$14:$AB$18,0)),
IF($M210="Market",0,IF($L210="HUD FMR",INDEX('Data - Reference'!$B$31:$G$31,MATCH($E210,'Data - Reference'!$B$9:$G$9,0)),INDEX('Data - Reference'!$B$9:$G$31,MATCH($K210,'Data - Reference'!$B$9:$B$31,0),MATCH($E210,'Data - Reference'!$B$9:$G$9,0))))),0)</f>
        <v>0</v>
      </c>
      <c r="Y210" s="71">
        <f>IFERROR(IF(INDEX(AD$14:AD$18,MATCH($E210,$AB$14:$AB$18,0))&lt;&gt;0,INDEX(AD$14:AD$18,MATCH($E210,$AB$14:$AB$18,0)),
IF($K210="None - Market",0,-INDEX('Data - Reference'!$B$32:$G$32,MATCH($E210,'Data - Reference'!$B$9:$G$9,0)))),0)</f>
        <v>0</v>
      </c>
      <c r="Z210" s="74">
        <f t="shared" si="48"/>
        <v>0</v>
      </c>
      <c r="AA210" s="67">
        <f t="shared" si="55"/>
        <v>0</v>
      </c>
      <c r="AB210" s="97">
        <f t="shared" si="56"/>
        <v>0</v>
      </c>
      <c r="AC210" s="82">
        <f t="shared" si="5"/>
        <v>0</v>
      </c>
      <c r="AD210" s="83">
        <f t="shared" si="57"/>
        <v>0</v>
      </c>
      <c r="AE210" s="97">
        <f t="shared" si="58"/>
        <v>0</v>
      </c>
      <c r="AF210" s="415" t="str">
        <f t="shared" si="49"/>
        <v>NA</v>
      </c>
      <c r="AG210" s="420" t="str">
        <f t="shared" si="59"/>
        <v>NA</v>
      </c>
      <c r="AH210" s="420" t="str">
        <f t="shared" si="60"/>
        <v>NA</v>
      </c>
      <c r="AI210" s="417" t="str">
        <f t="shared" si="46"/>
        <v>NA</v>
      </c>
      <c r="AJ210" s="417" t="str">
        <f t="shared" si="61"/>
        <v>NA</v>
      </c>
      <c r="AK210" s="524" t="str">
        <f>IFERROR(INDEX('Legacy Resident Reference'!R:R,MATCH('Unit Summary - Rent Roll'!AJ210,'Legacy Resident Reference'!P:P,0)),"NA")</f>
        <v>NA</v>
      </c>
    </row>
    <row r="211" spans="2:37" ht="13.8" hidden="1" outlineLevel="1" x14ac:dyDescent="0.3">
      <c r="B211" s="236">
        <v>185</v>
      </c>
      <c r="C211" s="580" t="s">
        <v>143</v>
      </c>
      <c r="D211" s="581"/>
      <c r="E211" s="186" t="s">
        <v>139</v>
      </c>
      <c r="F211" s="187">
        <v>0</v>
      </c>
      <c r="G211" s="239" t="s">
        <v>85</v>
      </c>
      <c r="H211" s="243">
        <v>0</v>
      </c>
      <c r="I211" s="373">
        <f t="shared" si="50"/>
        <v>0</v>
      </c>
      <c r="J211" s="250" t="s">
        <v>139</v>
      </c>
      <c r="K211" s="508" t="s">
        <v>139</v>
      </c>
      <c r="L211" s="399" t="s">
        <v>139</v>
      </c>
      <c r="M211" s="403">
        <v>0</v>
      </c>
      <c r="N211" s="282" t="s">
        <v>139</v>
      </c>
      <c r="O211" s="302" t="str">
        <f>IF(OR(M211=0,N211="NA"),"NA",IFERROR(INDEX('Data - Reference'!$B$37:$B$50,MATCH('Unit Summary - Rent Roll'!$M211,INDEX('Data - Reference'!$B$37:$J$50,,MATCH('Unit Summary - Rent Roll'!$N211,'Data - Reference'!$B$37:$J$37,0)),-1),1),"NA"))</f>
        <v>NA</v>
      </c>
      <c r="P211" s="239" t="s">
        <v>85</v>
      </c>
      <c r="Q211" s="239" t="s">
        <v>85</v>
      </c>
      <c r="R211" s="188">
        <v>0</v>
      </c>
      <c r="S211" s="364">
        <f t="shared" si="51"/>
        <v>0</v>
      </c>
      <c r="T211" s="97">
        <f t="shared" si="52"/>
        <v>0</v>
      </c>
      <c r="U211" s="188">
        <v>0</v>
      </c>
      <c r="V211" s="364">
        <f t="shared" si="53"/>
        <v>0</v>
      </c>
      <c r="W211" s="97">
        <f t="shared" si="54"/>
        <v>0</v>
      </c>
      <c r="X211" s="71">
        <f>IFERROR(IF(INDEX(AC$14:AC$18,MATCH($E211,$AB$14:$AB$18,0))&lt;&gt;0,INDEX(AC$14:AC$18,MATCH($E211,$AB$14:$AB$18,0)),
IF($M211="Market",0,IF($L211="HUD FMR",INDEX('Data - Reference'!$B$31:$G$31,MATCH($E211,'Data - Reference'!$B$9:$G$9,0)),INDEX('Data - Reference'!$B$9:$G$31,MATCH($K211,'Data - Reference'!$B$9:$B$31,0),MATCH($E211,'Data - Reference'!$B$9:$G$9,0))))),0)</f>
        <v>0</v>
      </c>
      <c r="Y211" s="71">
        <f>IFERROR(IF(INDEX(AD$14:AD$18,MATCH($E211,$AB$14:$AB$18,0))&lt;&gt;0,INDEX(AD$14:AD$18,MATCH($E211,$AB$14:$AB$18,0)),
IF($K211="None - Market",0,-INDEX('Data - Reference'!$B$32:$G$32,MATCH($E211,'Data - Reference'!$B$9:$G$9,0)))),0)</f>
        <v>0</v>
      </c>
      <c r="Z211" s="74">
        <f t="shared" si="48"/>
        <v>0</v>
      </c>
      <c r="AA211" s="67">
        <f t="shared" si="55"/>
        <v>0</v>
      </c>
      <c r="AB211" s="97">
        <f t="shared" si="56"/>
        <v>0</v>
      </c>
      <c r="AC211" s="82">
        <f t="shared" si="5"/>
        <v>0</v>
      </c>
      <c r="AD211" s="83">
        <f t="shared" si="57"/>
        <v>0</v>
      </c>
      <c r="AE211" s="97">
        <f t="shared" si="58"/>
        <v>0</v>
      </c>
      <c r="AF211" s="415" t="str">
        <f t="shared" si="49"/>
        <v>NA</v>
      </c>
      <c r="AG211" s="420" t="str">
        <f t="shared" si="59"/>
        <v>NA</v>
      </c>
      <c r="AH211" s="420" t="str">
        <f t="shared" si="60"/>
        <v>NA</v>
      </c>
      <c r="AI211" s="417" t="str">
        <f t="shared" si="46"/>
        <v>NA</v>
      </c>
      <c r="AJ211" s="417" t="str">
        <f t="shared" si="61"/>
        <v>NA</v>
      </c>
      <c r="AK211" s="524" t="str">
        <f>IFERROR(INDEX('Legacy Resident Reference'!R:R,MATCH('Unit Summary - Rent Roll'!AJ211,'Legacy Resident Reference'!P:P,0)),"NA")</f>
        <v>NA</v>
      </c>
    </row>
    <row r="212" spans="2:37" ht="13.8" hidden="1" outlineLevel="1" x14ac:dyDescent="0.3">
      <c r="B212" s="236">
        <v>186</v>
      </c>
      <c r="C212" s="580" t="s">
        <v>143</v>
      </c>
      <c r="D212" s="581"/>
      <c r="E212" s="186" t="s">
        <v>139</v>
      </c>
      <c r="F212" s="187">
        <v>0</v>
      </c>
      <c r="G212" s="239" t="s">
        <v>85</v>
      </c>
      <c r="H212" s="243">
        <v>0</v>
      </c>
      <c r="I212" s="373">
        <f t="shared" si="50"/>
        <v>0</v>
      </c>
      <c r="J212" s="250" t="s">
        <v>139</v>
      </c>
      <c r="K212" s="508" t="s">
        <v>139</v>
      </c>
      <c r="L212" s="399" t="s">
        <v>139</v>
      </c>
      <c r="M212" s="403">
        <v>0</v>
      </c>
      <c r="N212" s="282" t="s">
        <v>139</v>
      </c>
      <c r="O212" s="302" t="str">
        <f>IF(OR(M212=0,N212="NA"),"NA",IFERROR(INDEX('Data - Reference'!$B$37:$B$50,MATCH('Unit Summary - Rent Roll'!$M212,INDEX('Data - Reference'!$B$37:$J$50,,MATCH('Unit Summary - Rent Roll'!$N212,'Data - Reference'!$B$37:$J$37,0)),-1),1),"NA"))</f>
        <v>NA</v>
      </c>
      <c r="P212" s="239" t="s">
        <v>85</v>
      </c>
      <c r="Q212" s="239" t="s">
        <v>85</v>
      </c>
      <c r="R212" s="188">
        <v>0</v>
      </c>
      <c r="S212" s="364">
        <f t="shared" si="51"/>
        <v>0</v>
      </c>
      <c r="T212" s="97">
        <f t="shared" si="52"/>
        <v>0</v>
      </c>
      <c r="U212" s="188">
        <v>0</v>
      </c>
      <c r="V212" s="364">
        <f t="shared" si="53"/>
        <v>0</v>
      </c>
      <c r="W212" s="97">
        <f t="shared" si="54"/>
        <v>0</v>
      </c>
      <c r="X212" s="71">
        <f>IFERROR(IF(INDEX(AC$14:AC$18,MATCH($E212,$AB$14:$AB$18,0))&lt;&gt;0,INDEX(AC$14:AC$18,MATCH($E212,$AB$14:$AB$18,0)),
IF($M212="Market",0,IF($L212="HUD FMR",INDEX('Data - Reference'!$B$31:$G$31,MATCH($E212,'Data - Reference'!$B$9:$G$9,0)),INDEX('Data - Reference'!$B$9:$G$31,MATCH($K212,'Data - Reference'!$B$9:$B$31,0),MATCH($E212,'Data - Reference'!$B$9:$G$9,0))))),0)</f>
        <v>0</v>
      </c>
      <c r="Y212" s="71">
        <f>IFERROR(IF(INDEX(AD$14:AD$18,MATCH($E212,$AB$14:$AB$18,0))&lt;&gt;0,INDEX(AD$14:AD$18,MATCH($E212,$AB$14:$AB$18,0)),
IF($K212="None - Market",0,-INDEX('Data - Reference'!$B$32:$G$32,MATCH($E212,'Data - Reference'!$B$9:$G$9,0)))),0)</f>
        <v>0</v>
      </c>
      <c r="Z212" s="74">
        <f t="shared" si="48"/>
        <v>0</v>
      </c>
      <c r="AA212" s="67">
        <f t="shared" si="55"/>
        <v>0</v>
      </c>
      <c r="AB212" s="97">
        <f t="shared" si="56"/>
        <v>0</v>
      </c>
      <c r="AC212" s="82">
        <f t="shared" si="5"/>
        <v>0</v>
      </c>
      <c r="AD212" s="83">
        <f t="shared" si="57"/>
        <v>0</v>
      </c>
      <c r="AE212" s="97">
        <f t="shared" si="58"/>
        <v>0</v>
      </c>
      <c r="AF212" s="415" t="str">
        <f t="shared" si="49"/>
        <v>NA</v>
      </c>
      <c r="AG212" s="420" t="str">
        <f t="shared" si="59"/>
        <v>NA</v>
      </c>
      <c r="AH212" s="420" t="str">
        <f t="shared" si="60"/>
        <v>NA</v>
      </c>
      <c r="AI212" s="417" t="str">
        <f t="shared" si="46"/>
        <v>NA</v>
      </c>
      <c r="AJ212" s="417" t="str">
        <f t="shared" si="61"/>
        <v>NA</v>
      </c>
      <c r="AK212" s="524" t="str">
        <f>IFERROR(INDEX('Legacy Resident Reference'!R:R,MATCH('Unit Summary - Rent Roll'!AJ212,'Legacy Resident Reference'!P:P,0)),"NA")</f>
        <v>NA</v>
      </c>
    </row>
    <row r="213" spans="2:37" ht="13.8" hidden="1" outlineLevel="1" x14ac:dyDescent="0.3">
      <c r="B213" s="236">
        <v>187</v>
      </c>
      <c r="C213" s="580" t="s">
        <v>143</v>
      </c>
      <c r="D213" s="581"/>
      <c r="E213" s="186" t="s">
        <v>139</v>
      </c>
      <c r="F213" s="187">
        <v>0</v>
      </c>
      <c r="G213" s="239" t="s">
        <v>85</v>
      </c>
      <c r="H213" s="243">
        <v>0</v>
      </c>
      <c r="I213" s="373">
        <f t="shared" si="50"/>
        <v>0</v>
      </c>
      <c r="J213" s="250" t="s">
        <v>139</v>
      </c>
      <c r="K213" s="508" t="s">
        <v>139</v>
      </c>
      <c r="L213" s="399" t="s">
        <v>139</v>
      </c>
      <c r="M213" s="403">
        <v>0</v>
      </c>
      <c r="N213" s="282" t="s">
        <v>139</v>
      </c>
      <c r="O213" s="302" t="str">
        <f>IF(OR(M213=0,N213="NA"),"NA",IFERROR(INDEX('Data - Reference'!$B$37:$B$50,MATCH('Unit Summary - Rent Roll'!$M213,INDEX('Data - Reference'!$B$37:$J$50,,MATCH('Unit Summary - Rent Roll'!$N213,'Data - Reference'!$B$37:$J$37,0)),-1),1),"NA"))</f>
        <v>NA</v>
      </c>
      <c r="P213" s="239" t="s">
        <v>85</v>
      </c>
      <c r="Q213" s="239" t="s">
        <v>85</v>
      </c>
      <c r="R213" s="188">
        <v>0</v>
      </c>
      <c r="S213" s="364">
        <f t="shared" si="51"/>
        <v>0</v>
      </c>
      <c r="T213" s="97">
        <f t="shared" si="52"/>
        <v>0</v>
      </c>
      <c r="U213" s="188">
        <v>0</v>
      </c>
      <c r="V213" s="364">
        <f t="shared" si="53"/>
        <v>0</v>
      </c>
      <c r="W213" s="97">
        <f t="shared" si="54"/>
        <v>0</v>
      </c>
      <c r="X213" s="71">
        <f>IFERROR(IF(INDEX(AC$14:AC$18,MATCH($E213,$AB$14:$AB$18,0))&lt;&gt;0,INDEX(AC$14:AC$18,MATCH($E213,$AB$14:$AB$18,0)),
IF($M213="Market",0,IF($L213="HUD FMR",INDEX('Data - Reference'!$B$31:$G$31,MATCH($E213,'Data - Reference'!$B$9:$G$9,0)),INDEX('Data - Reference'!$B$9:$G$31,MATCH($K213,'Data - Reference'!$B$9:$B$31,0),MATCH($E213,'Data - Reference'!$B$9:$G$9,0))))),0)</f>
        <v>0</v>
      </c>
      <c r="Y213" s="71">
        <f>IFERROR(IF(INDEX(AD$14:AD$18,MATCH($E213,$AB$14:$AB$18,0))&lt;&gt;0,INDEX(AD$14:AD$18,MATCH($E213,$AB$14:$AB$18,0)),
IF($K213="None - Market",0,-INDEX('Data - Reference'!$B$32:$G$32,MATCH($E213,'Data - Reference'!$B$9:$G$9,0)))),0)</f>
        <v>0</v>
      </c>
      <c r="Z213" s="74">
        <f t="shared" si="48"/>
        <v>0</v>
      </c>
      <c r="AA213" s="67">
        <f t="shared" si="55"/>
        <v>0</v>
      </c>
      <c r="AB213" s="97">
        <f t="shared" si="56"/>
        <v>0</v>
      </c>
      <c r="AC213" s="82">
        <f t="shared" si="5"/>
        <v>0</v>
      </c>
      <c r="AD213" s="83">
        <f t="shared" si="57"/>
        <v>0</v>
      </c>
      <c r="AE213" s="97">
        <f t="shared" si="58"/>
        <v>0</v>
      </c>
      <c r="AF213" s="415" t="str">
        <f t="shared" si="49"/>
        <v>NA</v>
      </c>
      <c r="AG213" s="420" t="str">
        <f t="shared" si="59"/>
        <v>NA</v>
      </c>
      <c r="AH213" s="420" t="str">
        <f t="shared" si="60"/>
        <v>NA</v>
      </c>
      <c r="AI213" s="417" t="str">
        <f t="shared" si="46"/>
        <v>NA</v>
      </c>
      <c r="AJ213" s="417" t="str">
        <f t="shared" si="61"/>
        <v>NA</v>
      </c>
      <c r="AK213" s="524" t="str">
        <f>IFERROR(INDEX('Legacy Resident Reference'!R:R,MATCH('Unit Summary - Rent Roll'!AJ213,'Legacy Resident Reference'!P:P,0)),"NA")</f>
        <v>NA</v>
      </c>
    </row>
    <row r="214" spans="2:37" ht="13.8" hidden="1" outlineLevel="1" x14ac:dyDescent="0.3">
      <c r="B214" s="236">
        <v>188</v>
      </c>
      <c r="C214" s="580" t="s">
        <v>143</v>
      </c>
      <c r="D214" s="581"/>
      <c r="E214" s="186" t="s">
        <v>139</v>
      </c>
      <c r="F214" s="187">
        <v>0</v>
      </c>
      <c r="G214" s="239" t="s">
        <v>85</v>
      </c>
      <c r="H214" s="243">
        <v>0</v>
      </c>
      <c r="I214" s="373">
        <f t="shared" si="50"/>
        <v>0</v>
      </c>
      <c r="J214" s="250" t="s">
        <v>139</v>
      </c>
      <c r="K214" s="508" t="s">
        <v>139</v>
      </c>
      <c r="L214" s="399" t="s">
        <v>139</v>
      </c>
      <c r="M214" s="403">
        <v>0</v>
      </c>
      <c r="N214" s="282" t="s">
        <v>139</v>
      </c>
      <c r="O214" s="302" t="str">
        <f>IF(OR(M214=0,N214="NA"),"NA",IFERROR(INDEX('Data - Reference'!$B$37:$B$50,MATCH('Unit Summary - Rent Roll'!$M214,INDEX('Data - Reference'!$B$37:$J$50,,MATCH('Unit Summary - Rent Roll'!$N214,'Data - Reference'!$B$37:$J$37,0)),-1),1),"NA"))</f>
        <v>NA</v>
      </c>
      <c r="P214" s="239" t="s">
        <v>85</v>
      </c>
      <c r="Q214" s="239" t="s">
        <v>85</v>
      </c>
      <c r="R214" s="188">
        <v>0</v>
      </c>
      <c r="S214" s="364">
        <f t="shared" si="51"/>
        <v>0</v>
      </c>
      <c r="T214" s="97">
        <f t="shared" si="52"/>
        <v>0</v>
      </c>
      <c r="U214" s="188">
        <v>0</v>
      </c>
      <c r="V214" s="364">
        <f t="shared" si="53"/>
        <v>0</v>
      </c>
      <c r="W214" s="97">
        <f t="shared" si="54"/>
        <v>0</v>
      </c>
      <c r="X214" s="71">
        <f>IFERROR(IF(INDEX(AC$14:AC$18,MATCH($E214,$AB$14:$AB$18,0))&lt;&gt;0,INDEX(AC$14:AC$18,MATCH($E214,$AB$14:$AB$18,0)),
IF($M214="Market",0,IF($L214="HUD FMR",INDEX('Data - Reference'!$B$31:$G$31,MATCH($E214,'Data - Reference'!$B$9:$G$9,0)),INDEX('Data - Reference'!$B$9:$G$31,MATCH($K214,'Data - Reference'!$B$9:$B$31,0),MATCH($E214,'Data - Reference'!$B$9:$G$9,0))))),0)</f>
        <v>0</v>
      </c>
      <c r="Y214" s="71">
        <f>IFERROR(IF(INDEX(AD$14:AD$18,MATCH($E214,$AB$14:$AB$18,0))&lt;&gt;0,INDEX(AD$14:AD$18,MATCH($E214,$AB$14:$AB$18,0)),
IF($K214="None - Market",0,-INDEX('Data - Reference'!$B$32:$G$32,MATCH($E214,'Data - Reference'!$B$9:$G$9,0)))),0)</f>
        <v>0</v>
      </c>
      <c r="Z214" s="74">
        <f t="shared" si="48"/>
        <v>0</v>
      </c>
      <c r="AA214" s="67">
        <f t="shared" si="55"/>
        <v>0</v>
      </c>
      <c r="AB214" s="97">
        <f t="shared" si="56"/>
        <v>0</v>
      </c>
      <c r="AC214" s="82">
        <f t="shared" si="5"/>
        <v>0</v>
      </c>
      <c r="AD214" s="83">
        <f t="shared" si="57"/>
        <v>0</v>
      </c>
      <c r="AE214" s="97">
        <f t="shared" si="58"/>
        <v>0</v>
      </c>
      <c r="AF214" s="415" t="str">
        <f t="shared" si="49"/>
        <v>NA</v>
      </c>
      <c r="AG214" s="420" t="str">
        <f t="shared" si="59"/>
        <v>NA</v>
      </c>
      <c r="AH214" s="420" t="str">
        <f t="shared" si="60"/>
        <v>NA</v>
      </c>
      <c r="AI214" s="417" t="str">
        <f t="shared" si="46"/>
        <v>NA</v>
      </c>
      <c r="AJ214" s="417" t="str">
        <f t="shared" si="61"/>
        <v>NA</v>
      </c>
      <c r="AK214" s="524" t="str">
        <f>IFERROR(INDEX('Legacy Resident Reference'!R:R,MATCH('Unit Summary - Rent Roll'!AJ214,'Legacy Resident Reference'!P:P,0)),"NA")</f>
        <v>NA</v>
      </c>
    </row>
    <row r="215" spans="2:37" ht="13.8" hidden="1" outlineLevel="1" x14ac:dyDescent="0.3">
      <c r="B215" s="236">
        <v>189</v>
      </c>
      <c r="C215" s="580" t="s">
        <v>143</v>
      </c>
      <c r="D215" s="581"/>
      <c r="E215" s="186" t="s">
        <v>139</v>
      </c>
      <c r="F215" s="187">
        <v>0</v>
      </c>
      <c r="G215" s="239" t="s">
        <v>85</v>
      </c>
      <c r="H215" s="243">
        <v>0</v>
      </c>
      <c r="I215" s="373">
        <f t="shared" si="50"/>
        <v>0</v>
      </c>
      <c r="J215" s="250" t="s">
        <v>139</v>
      </c>
      <c r="K215" s="508" t="s">
        <v>139</v>
      </c>
      <c r="L215" s="399" t="s">
        <v>139</v>
      </c>
      <c r="M215" s="403">
        <v>0</v>
      </c>
      <c r="N215" s="282" t="s">
        <v>139</v>
      </c>
      <c r="O215" s="302" t="str">
        <f>IF(OR(M215=0,N215="NA"),"NA",IFERROR(INDEX('Data - Reference'!$B$37:$B$50,MATCH('Unit Summary - Rent Roll'!$M215,INDEX('Data - Reference'!$B$37:$J$50,,MATCH('Unit Summary - Rent Roll'!$N215,'Data - Reference'!$B$37:$J$37,0)),-1),1),"NA"))</f>
        <v>NA</v>
      </c>
      <c r="P215" s="239" t="s">
        <v>85</v>
      </c>
      <c r="Q215" s="239" t="s">
        <v>85</v>
      </c>
      <c r="R215" s="188">
        <v>0</v>
      </c>
      <c r="S215" s="364">
        <f t="shared" si="51"/>
        <v>0</v>
      </c>
      <c r="T215" s="97">
        <f t="shared" si="52"/>
        <v>0</v>
      </c>
      <c r="U215" s="188">
        <v>0</v>
      </c>
      <c r="V215" s="364">
        <f t="shared" si="53"/>
        <v>0</v>
      </c>
      <c r="W215" s="97">
        <f t="shared" si="54"/>
        <v>0</v>
      </c>
      <c r="X215" s="71">
        <f>IFERROR(IF(INDEX(AC$14:AC$18,MATCH($E215,$AB$14:$AB$18,0))&lt;&gt;0,INDEX(AC$14:AC$18,MATCH($E215,$AB$14:$AB$18,0)),
IF($M215="Market",0,IF($L215="HUD FMR",INDEX('Data - Reference'!$B$31:$G$31,MATCH($E215,'Data - Reference'!$B$9:$G$9,0)),INDEX('Data - Reference'!$B$9:$G$31,MATCH($K215,'Data - Reference'!$B$9:$B$31,0),MATCH($E215,'Data - Reference'!$B$9:$G$9,0))))),0)</f>
        <v>0</v>
      </c>
      <c r="Y215" s="71">
        <f>IFERROR(IF(INDEX(AD$14:AD$18,MATCH($E215,$AB$14:$AB$18,0))&lt;&gt;0,INDEX(AD$14:AD$18,MATCH($E215,$AB$14:$AB$18,0)),
IF($K215="None - Market",0,-INDEX('Data - Reference'!$B$32:$G$32,MATCH($E215,'Data - Reference'!$B$9:$G$9,0)))),0)</f>
        <v>0</v>
      </c>
      <c r="Z215" s="74">
        <f t="shared" si="48"/>
        <v>0</v>
      </c>
      <c r="AA215" s="67">
        <f t="shared" si="55"/>
        <v>0</v>
      </c>
      <c r="AB215" s="97">
        <f t="shared" si="56"/>
        <v>0</v>
      </c>
      <c r="AC215" s="82">
        <f t="shared" si="5"/>
        <v>0</v>
      </c>
      <c r="AD215" s="83">
        <f t="shared" si="57"/>
        <v>0</v>
      </c>
      <c r="AE215" s="97">
        <f t="shared" si="58"/>
        <v>0</v>
      </c>
      <c r="AF215" s="415" t="str">
        <f t="shared" si="49"/>
        <v>NA</v>
      </c>
      <c r="AG215" s="420" t="str">
        <f t="shared" si="59"/>
        <v>NA</v>
      </c>
      <c r="AH215" s="420" t="str">
        <f t="shared" si="60"/>
        <v>NA</v>
      </c>
      <c r="AI215" s="417" t="str">
        <f t="shared" si="46"/>
        <v>NA</v>
      </c>
      <c r="AJ215" s="417" t="str">
        <f t="shared" si="61"/>
        <v>NA</v>
      </c>
      <c r="AK215" s="524" t="str">
        <f>IFERROR(INDEX('Legacy Resident Reference'!R:R,MATCH('Unit Summary - Rent Roll'!AJ215,'Legacy Resident Reference'!P:P,0)),"NA")</f>
        <v>NA</v>
      </c>
    </row>
    <row r="216" spans="2:37" ht="13.8" hidden="1" outlineLevel="1" x14ac:dyDescent="0.3">
      <c r="B216" s="236">
        <v>190</v>
      </c>
      <c r="C216" s="580" t="s">
        <v>143</v>
      </c>
      <c r="D216" s="581"/>
      <c r="E216" s="186" t="s">
        <v>139</v>
      </c>
      <c r="F216" s="187">
        <v>0</v>
      </c>
      <c r="G216" s="239" t="s">
        <v>85</v>
      </c>
      <c r="H216" s="243">
        <v>0</v>
      </c>
      <c r="I216" s="373">
        <f t="shared" si="50"/>
        <v>0</v>
      </c>
      <c r="J216" s="250" t="s">
        <v>139</v>
      </c>
      <c r="K216" s="508" t="s">
        <v>139</v>
      </c>
      <c r="L216" s="399" t="s">
        <v>139</v>
      </c>
      <c r="M216" s="403">
        <v>0</v>
      </c>
      <c r="N216" s="282" t="s">
        <v>139</v>
      </c>
      <c r="O216" s="302" t="str">
        <f>IF(OR(M216=0,N216="NA"),"NA",IFERROR(INDEX('Data - Reference'!$B$37:$B$50,MATCH('Unit Summary - Rent Roll'!$M216,INDEX('Data - Reference'!$B$37:$J$50,,MATCH('Unit Summary - Rent Roll'!$N216,'Data - Reference'!$B$37:$J$37,0)),-1),1),"NA"))</f>
        <v>NA</v>
      </c>
      <c r="P216" s="239" t="s">
        <v>85</v>
      </c>
      <c r="Q216" s="239" t="s">
        <v>85</v>
      </c>
      <c r="R216" s="188">
        <v>0</v>
      </c>
      <c r="S216" s="364">
        <f t="shared" si="51"/>
        <v>0</v>
      </c>
      <c r="T216" s="97">
        <f t="shared" si="52"/>
        <v>0</v>
      </c>
      <c r="U216" s="188">
        <v>0</v>
      </c>
      <c r="V216" s="364">
        <f t="shared" si="53"/>
        <v>0</v>
      </c>
      <c r="W216" s="97">
        <f t="shared" si="54"/>
        <v>0</v>
      </c>
      <c r="X216" s="71">
        <f>IFERROR(IF(INDEX(AC$14:AC$18,MATCH($E216,$AB$14:$AB$18,0))&lt;&gt;0,INDEX(AC$14:AC$18,MATCH($E216,$AB$14:$AB$18,0)),
IF($M216="Market",0,IF($L216="HUD FMR",INDEX('Data - Reference'!$B$31:$G$31,MATCH($E216,'Data - Reference'!$B$9:$G$9,0)),INDEX('Data - Reference'!$B$9:$G$31,MATCH($K216,'Data - Reference'!$B$9:$B$31,0),MATCH($E216,'Data - Reference'!$B$9:$G$9,0))))),0)</f>
        <v>0</v>
      </c>
      <c r="Y216" s="71">
        <f>IFERROR(IF(INDEX(AD$14:AD$18,MATCH($E216,$AB$14:$AB$18,0))&lt;&gt;0,INDEX(AD$14:AD$18,MATCH($E216,$AB$14:$AB$18,0)),
IF($K216="None - Market",0,-INDEX('Data - Reference'!$B$32:$G$32,MATCH($E216,'Data - Reference'!$B$9:$G$9,0)))),0)</f>
        <v>0</v>
      </c>
      <c r="Z216" s="74">
        <f t="shared" si="48"/>
        <v>0</v>
      </c>
      <c r="AA216" s="67">
        <f t="shared" si="55"/>
        <v>0</v>
      </c>
      <c r="AB216" s="97">
        <f t="shared" si="56"/>
        <v>0</v>
      </c>
      <c r="AC216" s="82">
        <f t="shared" si="5"/>
        <v>0</v>
      </c>
      <c r="AD216" s="83">
        <f t="shared" si="57"/>
        <v>0</v>
      </c>
      <c r="AE216" s="97">
        <f t="shared" si="58"/>
        <v>0</v>
      </c>
      <c r="AF216" s="415" t="str">
        <f t="shared" si="49"/>
        <v>NA</v>
      </c>
      <c r="AG216" s="420" t="str">
        <f t="shared" si="59"/>
        <v>NA</v>
      </c>
      <c r="AH216" s="420" t="str">
        <f t="shared" si="60"/>
        <v>NA</v>
      </c>
      <c r="AI216" s="417" t="str">
        <f t="shared" si="46"/>
        <v>NA</v>
      </c>
      <c r="AJ216" s="417" t="str">
        <f t="shared" si="61"/>
        <v>NA</v>
      </c>
      <c r="AK216" s="524" t="str">
        <f>IFERROR(INDEX('Legacy Resident Reference'!R:R,MATCH('Unit Summary - Rent Roll'!AJ216,'Legacy Resident Reference'!P:P,0)),"NA")</f>
        <v>NA</v>
      </c>
    </row>
    <row r="217" spans="2:37" ht="13.8" hidden="1" outlineLevel="1" x14ac:dyDescent="0.3">
      <c r="B217" s="236">
        <v>191</v>
      </c>
      <c r="C217" s="580" t="s">
        <v>143</v>
      </c>
      <c r="D217" s="581"/>
      <c r="E217" s="186" t="s">
        <v>139</v>
      </c>
      <c r="F217" s="187">
        <v>0</v>
      </c>
      <c r="G217" s="239" t="s">
        <v>85</v>
      </c>
      <c r="H217" s="243">
        <v>0</v>
      </c>
      <c r="I217" s="373">
        <f t="shared" si="50"/>
        <v>0</v>
      </c>
      <c r="J217" s="250" t="s">
        <v>139</v>
      </c>
      <c r="K217" s="508" t="s">
        <v>139</v>
      </c>
      <c r="L217" s="399" t="s">
        <v>139</v>
      </c>
      <c r="M217" s="403">
        <v>0</v>
      </c>
      <c r="N217" s="282" t="s">
        <v>139</v>
      </c>
      <c r="O217" s="302" t="str">
        <f>IF(OR(M217=0,N217="NA"),"NA",IFERROR(INDEX('Data - Reference'!$B$37:$B$50,MATCH('Unit Summary - Rent Roll'!$M217,INDEX('Data - Reference'!$B$37:$J$50,,MATCH('Unit Summary - Rent Roll'!$N217,'Data - Reference'!$B$37:$J$37,0)),-1),1),"NA"))</f>
        <v>NA</v>
      </c>
      <c r="P217" s="239" t="s">
        <v>85</v>
      </c>
      <c r="Q217" s="239" t="s">
        <v>85</v>
      </c>
      <c r="R217" s="188">
        <v>0</v>
      </c>
      <c r="S217" s="364">
        <f t="shared" si="51"/>
        <v>0</v>
      </c>
      <c r="T217" s="97">
        <f t="shared" si="52"/>
        <v>0</v>
      </c>
      <c r="U217" s="188">
        <v>0</v>
      </c>
      <c r="V217" s="364">
        <f t="shared" si="53"/>
        <v>0</v>
      </c>
      <c r="W217" s="97">
        <f t="shared" si="54"/>
        <v>0</v>
      </c>
      <c r="X217" s="71">
        <f>IFERROR(IF(INDEX(AC$14:AC$18,MATCH($E217,$AB$14:$AB$18,0))&lt;&gt;0,INDEX(AC$14:AC$18,MATCH($E217,$AB$14:$AB$18,0)),
IF($M217="Market",0,IF($L217="HUD FMR",INDEX('Data - Reference'!$B$31:$G$31,MATCH($E217,'Data - Reference'!$B$9:$G$9,0)),INDEX('Data - Reference'!$B$9:$G$31,MATCH($K217,'Data - Reference'!$B$9:$B$31,0),MATCH($E217,'Data - Reference'!$B$9:$G$9,0))))),0)</f>
        <v>0</v>
      </c>
      <c r="Y217" s="71">
        <f>IFERROR(IF(INDEX(AD$14:AD$18,MATCH($E217,$AB$14:$AB$18,0))&lt;&gt;0,INDEX(AD$14:AD$18,MATCH($E217,$AB$14:$AB$18,0)),
IF($K217="None - Market",0,-INDEX('Data - Reference'!$B$32:$G$32,MATCH($E217,'Data - Reference'!$B$9:$G$9,0)))),0)</f>
        <v>0</v>
      </c>
      <c r="Z217" s="74">
        <f t="shared" si="48"/>
        <v>0</v>
      </c>
      <c r="AA217" s="67">
        <f t="shared" si="55"/>
        <v>0</v>
      </c>
      <c r="AB217" s="97">
        <f t="shared" si="56"/>
        <v>0</v>
      </c>
      <c r="AC217" s="82">
        <f t="shared" si="5"/>
        <v>0</v>
      </c>
      <c r="AD217" s="83">
        <f t="shared" si="57"/>
        <v>0</v>
      </c>
      <c r="AE217" s="97">
        <f t="shared" si="58"/>
        <v>0</v>
      </c>
      <c r="AF217" s="415" t="str">
        <f t="shared" si="49"/>
        <v>NA</v>
      </c>
      <c r="AG217" s="420" t="str">
        <f t="shared" si="59"/>
        <v>NA</v>
      </c>
      <c r="AH217" s="420" t="str">
        <f t="shared" si="60"/>
        <v>NA</v>
      </c>
      <c r="AI217" s="417" t="str">
        <f t="shared" si="46"/>
        <v>NA</v>
      </c>
      <c r="AJ217" s="417" t="str">
        <f t="shared" si="61"/>
        <v>NA</v>
      </c>
      <c r="AK217" s="524" t="str">
        <f>IFERROR(INDEX('Legacy Resident Reference'!R:R,MATCH('Unit Summary - Rent Roll'!AJ217,'Legacy Resident Reference'!P:P,0)),"NA")</f>
        <v>NA</v>
      </c>
    </row>
    <row r="218" spans="2:37" ht="13.8" hidden="1" outlineLevel="1" x14ac:dyDescent="0.3">
      <c r="B218" s="236">
        <v>192</v>
      </c>
      <c r="C218" s="580" t="s">
        <v>143</v>
      </c>
      <c r="D218" s="581"/>
      <c r="E218" s="186" t="s">
        <v>139</v>
      </c>
      <c r="F218" s="187">
        <v>0</v>
      </c>
      <c r="G218" s="239" t="s">
        <v>85</v>
      </c>
      <c r="H218" s="243">
        <v>0</v>
      </c>
      <c r="I218" s="373">
        <f t="shared" si="50"/>
        <v>0</v>
      </c>
      <c r="J218" s="250" t="s">
        <v>139</v>
      </c>
      <c r="K218" s="508" t="s">
        <v>139</v>
      </c>
      <c r="L218" s="399" t="s">
        <v>139</v>
      </c>
      <c r="M218" s="403">
        <v>0</v>
      </c>
      <c r="N218" s="282" t="s">
        <v>139</v>
      </c>
      <c r="O218" s="302" t="str">
        <f>IF(OR(M218=0,N218="NA"),"NA",IFERROR(INDEX('Data - Reference'!$B$37:$B$50,MATCH('Unit Summary - Rent Roll'!$M218,INDEX('Data - Reference'!$B$37:$J$50,,MATCH('Unit Summary - Rent Roll'!$N218,'Data - Reference'!$B$37:$J$37,0)),-1),1),"NA"))</f>
        <v>NA</v>
      </c>
      <c r="P218" s="239" t="s">
        <v>85</v>
      </c>
      <c r="Q218" s="239" t="s">
        <v>85</v>
      </c>
      <c r="R218" s="188">
        <v>0</v>
      </c>
      <c r="S218" s="364">
        <f t="shared" si="51"/>
        <v>0</v>
      </c>
      <c r="T218" s="97">
        <f t="shared" si="52"/>
        <v>0</v>
      </c>
      <c r="U218" s="188">
        <v>0</v>
      </c>
      <c r="V218" s="364">
        <f t="shared" si="53"/>
        <v>0</v>
      </c>
      <c r="W218" s="97">
        <f t="shared" si="54"/>
        <v>0</v>
      </c>
      <c r="X218" s="71">
        <f>IFERROR(IF(INDEX(AC$14:AC$18,MATCH($E218,$AB$14:$AB$18,0))&lt;&gt;0,INDEX(AC$14:AC$18,MATCH($E218,$AB$14:$AB$18,0)),
IF($M218="Market",0,IF($L218="HUD FMR",INDEX('Data - Reference'!$B$31:$G$31,MATCH($E218,'Data - Reference'!$B$9:$G$9,0)),INDEX('Data - Reference'!$B$9:$G$31,MATCH($K218,'Data - Reference'!$B$9:$B$31,0),MATCH($E218,'Data - Reference'!$B$9:$G$9,0))))),0)</f>
        <v>0</v>
      </c>
      <c r="Y218" s="71">
        <f>IFERROR(IF(INDEX(AD$14:AD$18,MATCH($E218,$AB$14:$AB$18,0))&lt;&gt;0,INDEX(AD$14:AD$18,MATCH($E218,$AB$14:$AB$18,0)),
IF($K218="None - Market",0,-INDEX('Data - Reference'!$B$32:$G$32,MATCH($E218,'Data - Reference'!$B$9:$G$9,0)))),0)</f>
        <v>0</v>
      </c>
      <c r="Z218" s="74">
        <f t="shared" si="48"/>
        <v>0</v>
      </c>
      <c r="AA218" s="67">
        <f t="shared" si="55"/>
        <v>0</v>
      </c>
      <c r="AB218" s="97">
        <f t="shared" si="56"/>
        <v>0</v>
      </c>
      <c r="AC218" s="82">
        <f t="shared" si="5"/>
        <v>0</v>
      </c>
      <c r="AD218" s="83">
        <f t="shared" si="57"/>
        <v>0</v>
      </c>
      <c r="AE218" s="97">
        <f t="shared" si="58"/>
        <v>0</v>
      </c>
      <c r="AF218" s="415" t="str">
        <f t="shared" si="49"/>
        <v>NA</v>
      </c>
      <c r="AG218" s="420" t="str">
        <f t="shared" si="59"/>
        <v>NA</v>
      </c>
      <c r="AH218" s="420" t="str">
        <f t="shared" si="60"/>
        <v>NA</v>
      </c>
      <c r="AI218" s="417" t="str">
        <f t="shared" si="46"/>
        <v>NA</v>
      </c>
      <c r="AJ218" s="417" t="str">
        <f t="shared" si="61"/>
        <v>NA</v>
      </c>
      <c r="AK218" s="524" t="str">
        <f>IFERROR(INDEX('Legacy Resident Reference'!R:R,MATCH('Unit Summary - Rent Roll'!AJ218,'Legacy Resident Reference'!P:P,0)),"NA")</f>
        <v>NA</v>
      </c>
    </row>
    <row r="219" spans="2:37" ht="13.8" hidden="1" outlineLevel="1" x14ac:dyDescent="0.3">
      <c r="B219" s="236">
        <v>193</v>
      </c>
      <c r="C219" s="580" t="s">
        <v>143</v>
      </c>
      <c r="D219" s="581"/>
      <c r="E219" s="186" t="s">
        <v>139</v>
      </c>
      <c r="F219" s="187">
        <v>0</v>
      </c>
      <c r="G219" s="239" t="s">
        <v>85</v>
      </c>
      <c r="H219" s="243">
        <v>0</v>
      </c>
      <c r="I219" s="373">
        <f t="shared" si="50"/>
        <v>0</v>
      </c>
      <c r="J219" s="250" t="s">
        <v>139</v>
      </c>
      <c r="K219" s="508" t="s">
        <v>139</v>
      </c>
      <c r="L219" s="399" t="s">
        <v>139</v>
      </c>
      <c r="M219" s="403">
        <v>0</v>
      </c>
      <c r="N219" s="282" t="s">
        <v>139</v>
      </c>
      <c r="O219" s="302" t="str">
        <f>IF(OR(M219=0,N219="NA"),"NA",IFERROR(INDEX('Data - Reference'!$B$37:$B$50,MATCH('Unit Summary - Rent Roll'!$M219,INDEX('Data - Reference'!$B$37:$J$50,,MATCH('Unit Summary - Rent Roll'!$N219,'Data - Reference'!$B$37:$J$37,0)),-1),1),"NA"))</f>
        <v>NA</v>
      </c>
      <c r="P219" s="239" t="s">
        <v>85</v>
      </c>
      <c r="Q219" s="239" t="s">
        <v>85</v>
      </c>
      <c r="R219" s="188">
        <v>0</v>
      </c>
      <c r="S219" s="364">
        <f t="shared" si="51"/>
        <v>0</v>
      </c>
      <c r="T219" s="97">
        <f t="shared" si="52"/>
        <v>0</v>
      </c>
      <c r="U219" s="188">
        <v>0</v>
      </c>
      <c r="V219" s="364">
        <f t="shared" si="53"/>
        <v>0</v>
      </c>
      <c r="W219" s="97">
        <f t="shared" si="54"/>
        <v>0</v>
      </c>
      <c r="X219" s="71">
        <f>IFERROR(IF(INDEX(AC$14:AC$18,MATCH($E219,$AB$14:$AB$18,0))&lt;&gt;0,INDEX(AC$14:AC$18,MATCH($E219,$AB$14:$AB$18,0)),
IF($M219="Market",0,IF($L219="HUD FMR",INDEX('Data - Reference'!$B$31:$G$31,MATCH($E219,'Data - Reference'!$B$9:$G$9,0)),INDEX('Data - Reference'!$B$9:$G$31,MATCH($K219,'Data - Reference'!$B$9:$B$31,0),MATCH($E219,'Data - Reference'!$B$9:$G$9,0))))),0)</f>
        <v>0</v>
      </c>
      <c r="Y219" s="71">
        <f>IFERROR(IF(INDEX(AD$14:AD$18,MATCH($E219,$AB$14:$AB$18,0))&lt;&gt;0,INDEX(AD$14:AD$18,MATCH($E219,$AB$14:$AB$18,0)),
IF($K219="None - Market",0,-INDEX('Data - Reference'!$B$32:$G$32,MATCH($E219,'Data - Reference'!$B$9:$G$9,0)))),0)</f>
        <v>0</v>
      </c>
      <c r="Z219" s="74">
        <f t="shared" si="48"/>
        <v>0</v>
      </c>
      <c r="AA219" s="67">
        <f t="shared" si="55"/>
        <v>0</v>
      </c>
      <c r="AB219" s="97">
        <f t="shared" si="56"/>
        <v>0</v>
      </c>
      <c r="AC219" s="82">
        <f t="shared" si="5"/>
        <v>0</v>
      </c>
      <c r="AD219" s="83">
        <f t="shared" si="57"/>
        <v>0</v>
      </c>
      <c r="AE219" s="97">
        <f t="shared" si="58"/>
        <v>0</v>
      </c>
      <c r="AF219" s="415" t="str">
        <f t="shared" si="49"/>
        <v>NA</v>
      </c>
      <c r="AG219" s="420" t="str">
        <f t="shared" si="59"/>
        <v>NA</v>
      </c>
      <c r="AH219" s="420" t="str">
        <f t="shared" si="60"/>
        <v>NA</v>
      </c>
      <c r="AI219" s="417" t="str">
        <f t="shared" si="46"/>
        <v>NA</v>
      </c>
      <c r="AJ219" s="417" t="str">
        <f t="shared" si="61"/>
        <v>NA</v>
      </c>
      <c r="AK219" s="524" t="str">
        <f>IFERROR(INDEX('Legacy Resident Reference'!R:R,MATCH('Unit Summary - Rent Roll'!AJ219,'Legacy Resident Reference'!P:P,0)),"NA")</f>
        <v>NA</v>
      </c>
    </row>
    <row r="220" spans="2:37" ht="13.8" hidden="1" outlineLevel="1" x14ac:dyDescent="0.3">
      <c r="B220" s="236">
        <v>194</v>
      </c>
      <c r="C220" s="580" t="s">
        <v>143</v>
      </c>
      <c r="D220" s="581"/>
      <c r="E220" s="186" t="s">
        <v>139</v>
      </c>
      <c r="F220" s="187">
        <v>0</v>
      </c>
      <c r="G220" s="239" t="s">
        <v>85</v>
      </c>
      <c r="H220" s="243">
        <v>0</v>
      </c>
      <c r="I220" s="373">
        <f t="shared" si="50"/>
        <v>0</v>
      </c>
      <c r="J220" s="250" t="s">
        <v>139</v>
      </c>
      <c r="K220" s="508" t="s">
        <v>139</v>
      </c>
      <c r="L220" s="399" t="s">
        <v>139</v>
      </c>
      <c r="M220" s="403">
        <v>0</v>
      </c>
      <c r="N220" s="282" t="s">
        <v>139</v>
      </c>
      <c r="O220" s="302" t="str">
        <f>IF(OR(M220=0,N220="NA"),"NA",IFERROR(INDEX('Data - Reference'!$B$37:$B$50,MATCH('Unit Summary - Rent Roll'!$M220,INDEX('Data - Reference'!$B$37:$J$50,,MATCH('Unit Summary - Rent Roll'!$N220,'Data - Reference'!$B$37:$J$37,0)),-1),1),"NA"))</f>
        <v>NA</v>
      </c>
      <c r="P220" s="239" t="s">
        <v>85</v>
      </c>
      <c r="Q220" s="239" t="s">
        <v>85</v>
      </c>
      <c r="R220" s="188">
        <v>0</v>
      </c>
      <c r="S220" s="364">
        <f t="shared" si="51"/>
        <v>0</v>
      </c>
      <c r="T220" s="97">
        <f t="shared" si="52"/>
        <v>0</v>
      </c>
      <c r="U220" s="188">
        <v>0</v>
      </c>
      <c r="V220" s="364">
        <f t="shared" si="53"/>
        <v>0</v>
      </c>
      <c r="W220" s="97">
        <f t="shared" si="54"/>
        <v>0</v>
      </c>
      <c r="X220" s="71">
        <f>IFERROR(IF(INDEX(AC$14:AC$18,MATCH($E220,$AB$14:$AB$18,0))&lt;&gt;0,INDEX(AC$14:AC$18,MATCH($E220,$AB$14:$AB$18,0)),
IF($M220="Market",0,IF($L220="HUD FMR",INDEX('Data - Reference'!$B$31:$G$31,MATCH($E220,'Data - Reference'!$B$9:$G$9,0)),INDEX('Data - Reference'!$B$9:$G$31,MATCH($K220,'Data - Reference'!$B$9:$B$31,0),MATCH($E220,'Data - Reference'!$B$9:$G$9,0))))),0)</f>
        <v>0</v>
      </c>
      <c r="Y220" s="71">
        <f>IFERROR(IF(INDEX(AD$14:AD$18,MATCH($E220,$AB$14:$AB$18,0))&lt;&gt;0,INDEX(AD$14:AD$18,MATCH($E220,$AB$14:$AB$18,0)),
IF($K220="None - Market",0,-INDEX('Data - Reference'!$B$32:$G$32,MATCH($E220,'Data - Reference'!$B$9:$G$9,0)))),0)</f>
        <v>0</v>
      </c>
      <c r="Z220" s="74">
        <f t="shared" ref="Z220:Z283" si="62">ROUND(SUM(X220:Y220),0)</f>
        <v>0</v>
      </c>
      <c r="AA220" s="67">
        <f t="shared" si="55"/>
        <v>0</v>
      </c>
      <c r="AB220" s="97">
        <f t="shared" si="56"/>
        <v>0</v>
      </c>
      <c r="AC220" s="82">
        <f t="shared" si="5"/>
        <v>0</v>
      </c>
      <c r="AD220" s="83">
        <f t="shared" si="57"/>
        <v>0</v>
      </c>
      <c r="AE220" s="97">
        <f t="shared" si="58"/>
        <v>0</v>
      </c>
      <c r="AF220" s="415" t="str">
        <f t="shared" ref="AF220:AF283" si="63">IFERROR(IF(J220="Market","NA",IF(U220=0,"NA",IF(U220&gt;Z220,"N","Y"))),"NA")</f>
        <v>NA</v>
      </c>
      <c r="AG220" s="420" t="str">
        <f t="shared" si="59"/>
        <v>NA</v>
      </c>
      <c r="AH220" s="420" t="str">
        <f t="shared" si="60"/>
        <v>NA</v>
      </c>
      <c r="AI220" s="417" t="str">
        <f t="shared" si="46"/>
        <v>NA</v>
      </c>
      <c r="AJ220" s="417" t="str">
        <f t="shared" si="61"/>
        <v>NA</v>
      </c>
      <c r="AK220" s="524" t="str">
        <f>IFERROR(INDEX('Legacy Resident Reference'!R:R,MATCH('Unit Summary - Rent Roll'!AJ220,'Legacy Resident Reference'!P:P,0)),"NA")</f>
        <v>NA</v>
      </c>
    </row>
    <row r="221" spans="2:37" ht="13.8" hidden="1" outlineLevel="1" x14ac:dyDescent="0.3">
      <c r="B221" s="236">
        <v>195</v>
      </c>
      <c r="C221" s="580" t="s">
        <v>143</v>
      </c>
      <c r="D221" s="581"/>
      <c r="E221" s="186" t="s">
        <v>139</v>
      </c>
      <c r="F221" s="187">
        <v>0</v>
      </c>
      <c r="G221" s="239" t="s">
        <v>85</v>
      </c>
      <c r="H221" s="243">
        <v>0</v>
      </c>
      <c r="I221" s="373">
        <f t="shared" si="50"/>
        <v>0</v>
      </c>
      <c r="J221" s="250" t="s">
        <v>139</v>
      </c>
      <c r="K221" s="508" t="s">
        <v>139</v>
      </c>
      <c r="L221" s="399" t="s">
        <v>139</v>
      </c>
      <c r="M221" s="403">
        <v>0</v>
      </c>
      <c r="N221" s="282" t="s">
        <v>139</v>
      </c>
      <c r="O221" s="302" t="str">
        <f>IF(OR(M221=0,N221="NA"),"NA",IFERROR(INDEX('Data - Reference'!$B$37:$B$50,MATCH('Unit Summary - Rent Roll'!$M221,INDEX('Data - Reference'!$B$37:$J$50,,MATCH('Unit Summary - Rent Roll'!$N221,'Data - Reference'!$B$37:$J$37,0)),-1),1),"NA"))</f>
        <v>NA</v>
      </c>
      <c r="P221" s="239" t="s">
        <v>85</v>
      </c>
      <c r="Q221" s="239" t="s">
        <v>85</v>
      </c>
      <c r="R221" s="188">
        <v>0</v>
      </c>
      <c r="S221" s="364">
        <f t="shared" si="51"/>
        <v>0</v>
      </c>
      <c r="T221" s="97">
        <f t="shared" si="52"/>
        <v>0</v>
      </c>
      <c r="U221" s="188">
        <v>0</v>
      </c>
      <c r="V221" s="364">
        <f t="shared" si="53"/>
        <v>0</v>
      </c>
      <c r="W221" s="97">
        <f t="shared" si="54"/>
        <v>0</v>
      </c>
      <c r="X221" s="71">
        <f>IFERROR(IF(INDEX(AC$14:AC$18,MATCH($E221,$AB$14:$AB$18,0))&lt;&gt;0,INDEX(AC$14:AC$18,MATCH($E221,$AB$14:$AB$18,0)),
IF($M221="Market",0,IF($L221="HUD FMR",INDEX('Data - Reference'!$B$31:$G$31,MATCH($E221,'Data - Reference'!$B$9:$G$9,0)),INDEX('Data - Reference'!$B$9:$G$31,MATCH($K221,'Data - Reference'!$B$9:$B$31,0),MATCH($E221,'Data - Reference'!$B$9:$G$9,0))))),0)</f>
        <v>0</v>
      </c>
      <c r="Y221" s="71">
        <f>IFERROR(IF(INDEX(AD$14:AD$18,MATCH($E221,$AB$14:$AB$18,0))&lt;&gt;0,INDEX(AD$14:AD$18,MATCH($E221,$AB$14:$AB$18,0)),
IF($K221="None - Market",0,-INDEX('Data - Reference'!$B$32:$G$32,MATCH($E221,'Data - Reference'!$B$9:$G$9,0)))),0)</f>
        <v>0</v>
      </c>
      <c r="Z221" s="74">
        <f t="shared" si="62"/>
        <v>0</v>
      </c>
      <c r="AA221" s="67">
        <f t="shared" si="55"/>
        <v>0</v>
      </c>
      <c r="AB221" s="97">
        <f t="shared" si="56"/>
        <v>0</v>
      </c>
      <c r="AC221" s="82">
        <f t="shared" si="5"/>
        <v>0</v>
      </c>
      <c r="AD221" s="83">
        <f t="shared" si="57"/>
        <v>0</v>
      </c>
      <c r="AE221" s="97">
        <f t="shared" si="58"/>
        <v>0</v>
      </c>
      <c r="AF221" s="415" t="str">
        <f t="shared" si="63"/>
        <v>NA</v>
      </c>
      <c r="AG221" s="420" t="str">
        <f t="shared" si="59"/>
        <v>NA</v>
      </c>
      <c r="AH221" s="420" t="str">
        <f t="shared" si="60"/>
        <v>NA</v>
      </c>
      <c r="AI221" s="417" t="str">
        <f t="shared" si="46"/>
        <v>NA</v>
      </c>
      <c r="AJ221" s="417" t="str">
        <f t="shared" si="61"/>
        <v>NA</v>
      </c>
      <c r="AK221" s="524" t="str">
        <f>IFERROR(INDEX('Legacy Resident Reference'!R:R,MATCH('Unit Summary - Rent Roll'!AJ221,'Legacy Resident Reference'!P:P,0)),"NA")</f>
        <v>NA</v>
      </c>
    </row>
    <row r="222" spans="2:37" ht="13.8" hidden="1" outlineLevel="1" x14ac:dyDescent="0.3">
      <c r="B222" s="236">
        <v>196</v>
      </c>
      <c r="C222" s="580" t="s">
        <v>143</v>
      </c>
      <c r="D222" s="581"/>
      <c r="E222" s="186" t="s">
        <v>139</v>
      </c>
      <c r="F222" s="187">
        <v>0</v>
      </c>
      <c r="G222" s="239" t="s">
        <v>85</v>
      </c>
      <c r="H222" s="243">
        <v>0</v>
      </c>
      <c r="I222" s="373">
        <f t="shared" si="50"/>
        <v>0</v>
      </c>
      <c r="J222" s="250" t="s">
        <v>139</v>
      </c>
      <c r="K222" s="508" t="s">
        <v>139</v>
      </c>
      <c r="L222" s="399" t="s">
        <v>139</v>
      </c>
      <c r="M222" s="403">
        <v>0</v>
      </c>
      <c r="N222" s="282" t="s">
        <v>139</v>
      </c>
      <c r="O222" s="302" t="str">
        <f>IF(OR(M222=0,N222="NA"),"NA",IFERROR(INDEX('Data - Reference'!$B$37:$B$50,MATCH('Unit Summary - Rent Roll'!$M222,INDEX('Data - Reference'!$B$37:$J$50,,MATCH('Unit Summary - Rent Roll'!$N222,'Data - Reference'!$B$37:$J$37,0)),-1),1),"NA"))</f>
        <v>NA</v>
      </c>
      <c r="P222" s="239" t="s">
        <v>85</v>
      </c>
      <c r="Q222" s="239" t="s">
        <v>85</v>
      </c>
      <c r="R222" s="188">
        <v>0</v>
      </c>
      <c r="S222" s="364">
        <f t="shared" si="51"/>
        <v>0</v>
      </c>
      <c r="T222" s="97">
        <f t="shared" si="52"/>
        <v>0</v>
      </c>
      <c r="U222" s="188">
        <v>0</v>
      </c>
      <c r="V222" s="364">
        <f t="shared" si="53"/>
        <v>0</v>
      </c>
      <c r="W222" s="97">
        <f t="shared" si="54"/>
        <v>0</v>
      </c>
      <c r="X222" s="71">
        <f>IFERROR(IF(INDEX(AC$14:AC$18,MATCH($E222,$AB$14:$AB$18,0))&lt;&gt;0,INDEX(AC$14:AC$18,MATCH($E222,$AB$14:$AB$18,0)),
IF($M222="Market",0,IF($L222="HUD FMR",INDEX('Data - Reference'!$B$31:$G$31,MATCH($E222,'Data - Reference'!$B$9:$G$9,0)),INDEX('Data - Reference'!$B$9:$G$31,MATCH($K222,'Data - Reference'!$B$9:$B$31,0),MATCH($E222,'Data - Reference'!$B$9:$G$9,0))))),0)</f>
        <v>0</v>
      </c>
      <c r="Y222" s="71">
        <f>IFERROR(IF(INDEX(AD$14:AD$18,MATCH($E222,$AB$14:$AB$18,0))&lt;&gt;0,INDEX(AD$14:AD$18,MATCH($E222,$AB$14:$AB$18,0)),
IF($K222="None - Market",0,-INDEX('Data - Reference'!$B$32:$G$32,MATCH($E222,'Data - Reference'!$B$9:$G$9,0)))),0)</f>
        <v>0</v>
      </c>
      <c r="Z222" s="74">
        <f t="shared" si="62"/>
        <v>0</v>
      </c>
      <c r="AA222" s="67">
        <f t="shared" si="55"/>
        <v>0</v>
      </c>
      <c r="AB222" s="97">
        <f t="shared" si="56"/>
        <v>0</v>
      </c>
      <c r="AC222" s="82">
        <f t="shared" si="5"/>
        <v>0</v>
      </c>
      <c r="AD222" s="83">
        <f t="shared" si="57"/>
        <v>0</v>
      </c>
      <c r="AE222" s="97">
        <f t="shared" si="58"/>
        <v>0</v>
      </c>
      <c r="AF222" s="415" t="str">
        <f t="shared" si="63"/>
        <v>NA</v>
      </c>
      <c r="AG222" s="420" t="str">
        <f t="shared" si="59"/>
        <v>NA</v>
      </c>
      <c r="AH222" s="420" t="str">
        <f t="shared" si="60"/>
        <v>NA</v>
      </c>
      <c r="AI222" s="417" t="str">
        <f t="shared" si="46"/>
        <v>NA</v>
      </c>
      <c r="AJ222" s="417" t="str">
        <f t="shared" si="61"/>
        <v>NA</v>
      </c>
      <c r="AK222" s="524" t="str">
        <f>IFERROR(INDEX('Legacy Resident Reference'!R:R,MATCH('Unit Summary - Rent Roll'!AJ222,'Legacy Resident Reference'!P:P,0)),"NA")</f>
        <v>NA</v>
      </c>
    </row>
    <row r="223" spans="2:37" ht="13.8" hidden="1" outlineLevel="1" x14ac:dyDescent="0.3">
      <c r="B223" s="236">
        <v>197</v>
      </c>
      <c r="C223" s="580" t="s">
        <v>143</v>
      </c>
      <c r="D223" s="581"/>
      <c r="E223" s="186" t="s">
        <v>139</v>
      </c>
      <c r="F223" s="187">
        <v>0</v>
      </c>
      <c r="G223" s="239" t="s">
        <v>85</v>
      </c>
      <c r="H223" s="243">
        <v>0</v>
      </c>
      <c r="I223" s="373">
        <f t="shared" si="50"/>
        <v>0</v>
      </c>
      <c r="J223" s="250" t="s">
        <v>139</v>
      </c>
      <c r="K223" s="508" t="s">
        <v>139</v>
      </c>
      <c r="L223" s="399" t="s">
        <v>139</v>
      </c>
      <c r="M223" s="403">
        <v>0</v>
      </c>
      <c r="N223" s="282" t="s">
        <v>139</v>
      </c>
      <c r="O223" s="302" t="str">
        <f>IF(OR(M223=0,N223="NA"),"NA",IFERROR(INDEX('Data - Reference'!$B$37:$B$50,MATCH('Unit Summary - Rent Roll'!$M223,INDEX('Data - Reference'!$B$37:$J$50,,MATCH('Unit Summary - Rent Roll'!$N223,'Data - Reference'!$B$37:$J$37,0)),-1),1),"NA"))</f>
        <v>NA</v>
      </c>
      <c r="P223" s="239" t="s">
        <v>85</v>
      </c>
      <c r="Q223" s="239" t="s">
        <v>85</v>
      </c>
      <c r="R223" s="188">
        <v>0</v>
      </c>
      <c r="S223" s="364">
        <f t="shared" si="51"/>
        <v>0</v>
      </c>
      <c r="T223" s="97">
        <f t="shared" si="52"/>
        <v>0</v>
      </c>
      <c r="U223" s="188">
        <v>0</v>
      </c>
      <c r="V223" s="364">
        <f t="shared" si="53"/>
        <v>0</v>
      </c>
      <c r="W223" s="97">
        <f t="shared" si="54"/>
        <v>0</v>
      </c>
      <c r="X223" s="71">
        <f>IFERROR(IF(INDEX(AC$14:AC$18,MATCH($E223,$AB$14:$AB$18,0))&lt;&gt;0,INDEX(AC$14:AC$18,MATCH($E223,$AB$14:$AB$18,0)),
IF($M223="Market",0,IF($L223="HUD FMR",INDEX('Data - Reference'!$B$31:$G$31,MATCH($E223,'Data - Reference'!$B$9:$G$9,0)),INDEX('Data - Reference'!$B$9:$G$31,MATCH($K223,'Data - Reference'!$B$9:$B$31,0),MATCH($E223,'Data - Reference'!$B$9:$G$9,0))))),0)</f>
        <v>0</v>
      </c>
      <c r="Y223" s="71">
        <f>IFERROR(IF(INDEX(AD$14:AD$18,MATCH($E223,$AB$14:$AB$18,0))&lt;&gt;0,INDEX(AD$14:AD$18,MATCH($E223,$AB$14:$AB$18,0)),
IF($K223="None - Market",0,-INDEX('Data - Reference'!$B$32:$G$32,MATCH($E223,'Data - Reference'!$B$9:$G$9,0)))),0)</f>
        <v>0</v>
      </c>
      <c r="Z223" s="74">
        <f t="shared" si="62"/>
        <v>0</v>
      </c>
      <c r="AA223" s="67">
        <f t="shared" si="55"/>
        <v>0</v>
      </c>
      <c r="AB223" s="97">
        <f t="shared" si="56"/>
        <v>0</v>
      </c>
      <c r="AC223" s="82">
        <f t="shared" si="5"/>
        <v>0</v>
      </c>
      <c r="AD223" s="83">
        <f t="shared" si="57"/>
        <v>0</v>
      </c>
      <c r="AE223" s="97">
        <f t="shared" si="58"/>
        <v>0</v>
      </c>
      <c r="AF223" s="415" t="str">
        <f t="shared" si="63"/>
        <v>NA</v>
      </c>
      <c r="AG223" s="420" t="str">
        <f t="shared" si="59"/>
        <v>NA</v>
      </c>
      <c r="AH223" s="420" t="str">
        <f t="shared" si="60"/>
        <v>NA</v>
      </c>
      <c r="AI223" s="417" t="str">
        <f t="shared" si="46"/>
        <v>NA</v>
      </c>
      <c r="AJ223" s="417" t="str">
        <f t="shared" si="61"/>
        <v>NA</v>
      </c>
      <c r="AK223" s="524" t="str">
        <f>IFERROR(INDEX('Legacy Resident Reference'!R:R,MATCH('Unit Summary - Rent Roll'!AJ223,'Legacy Resident Reference'!P:P,0)),"NA")</f>
        <v>NA</v>
      </c>
    </row>
    <row r="224" spans="2:37" ht="13.8" hidden="1" outlineLevel="1" x14ac:dyDescent="0.3">
      <c r="B224" s="236">
        <v>198</v>
      </c>
      <c r="C224" s="580" t="s">
        <v>143</v>
      </c>
      <c r="D224" s="581"/>
      <c r="E224" s="186" t="s">
        <v>139</v>
      </c>
      <c r="F224" s="187">
        <v>0</v>
      </c>
      <c r="G224" s="239" t="s">
        <v>85</v>
      </c>
      <c r="H224" s="243">
        <v>0</v>
      </c>
      <c r="I224" s="373">
        <f t="shared" si="50"/>
        <v>0</v>
      </c>
      <c r="J224" s="250" t="s">
        <v>139</v>
      </c>
      <c r="K224" s="508" t="s">
        <v>139</v>
      </c>
      <c r="L224" s="399" t="s">
        <v>139</v>
      </c>
      <c r="M224" s="403">
        <v>0</v>
      </c>
      <c r="N224" s="282" t="s">
        <v>139</v>
      </c>
      <c r="O224" s="302" t="str">
        <f>IF(OR(M224=0,N224="NA"),"NA",IFERROR(INDEX('Data - Reference'!$B$37:$B$50,MATCH('Unit Summary - Rent Roll'!$M224,INDEX('Data - Reference'!$B$37:$J$50,,MATCH('Unit Summary - Rent Roll'!$N224,'Data - Reference'!$B$37:$J$37,0)),-1),1),"NA"))</f>
        <v>NA</v>
      </c>
      <c r="P224" s="239" t="s">
        <v>85</v>
      </c>
      <c r="Q224" s="239" t="s">
        <v>85</v>
      </c>
      <c r="R224" s="188">
        <v>0</v>
      </c>
      <c r="S224" s="364">
        <f t="shared" si="51"/>
        <v>0</v>
      </c>
      <c r="T224" s="97">
        <f t="shared" si="52"/>
        <v>0</v>
      </c>
      <c r="U224" s="188">
        <v>0</v>
      </c>
      <c r="V224" s="364">
        <f t="shared" si="53"/>
        <v>0</v>
      </c>
      <c r="W224" s="97">
        <f t="shared" si="54"/>
        <v>0</v>
      </c>
      <c r="X224" s="71">
        <f>IFERROR(IF(INDEX(AC$14:AC$18,MATCH($E224,$AB$14:$AB$18,0))&lt;&gt;0,INDEX(AC$14:AC$18,MATCH($E224,$AB$14:$AB$18,0)),
IF($M224="Market",0,IF($L224="HUD FMR",INDEX('Data - Reference'!$B$31:$G$31,MATCH($E224,'Data - Reference'!$B$9:$G$9,0)),INDEX('Data - Reference'!$B$9:$G$31,MATCH($K224,'Data - Reference'!$B$9:$B$31,0),MATCH($E224,'Data - Reference'!$B$9:$G$9,0))))),0)</f>
        <v>0</v>
      </c>
      <c r="Y224" s="71">
        <f>IFERROR(IF(INDEX(AD$14:AD$18,MATCH($E224,$AB$14:$AB$18,0))&lt;&gt;0,INDEX(AD$14:AD$18,MATCH($E224,$AB$14:$AB$18,0)),
IF($K224="None - Market",0,-INDEX('Data - Reference'!$B$32:$G$32,MATCH($E224,'Data - Reference'!$B$9:$G$9,0)))),0)</f>
        <v>0</v>
      </c>
      <c r="Z224" s="74">
        <f t="shared" si="62"/>
        <v>0</v>
      </c>
      <c r="AA224" s="67">
        <f t="shared" si="55"/>
        <v>0</v>
      </c>
      <c r="AB224" s="97">
        <f t="shared" si="56"/>
        <v>0</v>
      </c>
      <c r="AC224" s="82">
        <f t="shared" si="5"/>
        <v>0</v>
      </c>
      <c r="AD224" s="83">
        <f t="shared" si="57"/>
        <v>0</v>
      </c>
      <c r="AE224" s="97">
        <f t="shared" si="58"/>
        <v>0</v>
      </c>
      <c r="AF224" s="415" t="str">
        <f t="shared" si="63"/>
        <v>NA</v>
      </c>
      <c r="AG224" s="420" t="str">
        <f t="shared" si="59"/>
        <v>NA</v>
      </c>
      <c r="AH224" s="420" t="str">
        <f t="shared" si="60"/>
        <v>NA</v>
      </c>
      <c r="AI224" s="417" t="str">
        <f t="shared" si="46"/>
        <v>NA</v>
      </c>
      <c r="AJ224" s="417" t="str">
        <f t="shared" si="61"/>
        <v>NA</v>
      </c>
      <c r="AK224" s="524" t="str">
        <f>IFERROR(INDEX('Legacy Resident Reference'!R:R,MATCH('Unit Summary - Rent Roll'!AJ224,'Legacy Resident Reference'!P:P,0)),"NA")</f>
        <v>NA</v>
      </c>
    </row>
    <row r="225" spans="2:37" ht="13.8" hidden="1" outlineLevel="1" x14ac:dyDescent="0.3">
      <c r="B225" s="236">
        <v>199</v>
      </c>
      <c r="C225" s="580" t="s">
        <v>143</v>
      </c>
      <c r="D225" s="581"/>
      <c r="E225" s="186" t="s">
        <v>139</v>
      </c>
      <c r="F225" s="187">
        <v>0</v>
      </c>
      <c r="G225" s="239" t="s">
        <v>85</v>
      </c>
      <c r="H225" s="243">
        <v>0</v>
      </c>
      <c r="I225" s="373">
        <f t="shared" si="50"/>
        <v>0</v>
      </c>
      <c r="J225" s="250" t="s">
        <v>139</v>
      </c>
      <c r="K225" s="508" t="s">
        <v>139</v>
      </c>
      <c r="L225" s="399" t="s">
        <v>139</v>
      </c>
      <c r="M225" s="403">
        <v>0</v>
      </c>
      <c r="N225" s="282" t="s">
        <v>139</v>
      </c>
      <c r="O225" s="302" t="str">
        <f>IF(OR(M225=0,N225="NA"),"NA",IFERROR(INDEX('Data - Reference'!$B$37:$B$50,MATCH('Unit Summary - Rent Roll'!$M225,INDEX('Data - Reference'!$B$37:$J$50,,MATCH('Unit Summary - Rent Roll'!$N225,'Data - Reference'!$B$37:$J$37,0)),-1),1),"NA"))</f>
        <v>NA</v>
      </c>
      <c r="P225" s="239" t="s">
        <v>85</v>
      </c>
      <c r="Q225" s="239" t="s">
        <v>85</v>
      </c>
      <c r="R225" s="188">
        <v>0</v>
      </c>
      <c r="S225" s="364">
        <f t="shared" si="51"/>
        <v>0</v>
      </c>
      <c r="T225" s="97">
        <f t="shared" si="52"/>
        <v>0</v>
      </c>
      <c r="U225" s="188">
        <v>0</v>
      </c>
      <c r="V225" s="364">
        <f t="shared" si="53"/>
        <v>0</v>
      </c>
      <c r="W225" s="97">
        <f t="shared" si="54"/>
        <v>0</v>
      </c>
      <c r="X225" s="71">
        <f>IFERROR(IF(INDEX(AC$14:AC$18,MATCH($E225,$AB$14:$AB$18,0))&lt;&gt;0,INDEX(AC$14:AC$18,MATCH($E225,$AB$14:$AB$18,0)),
IF($M225="Market",0,IF($L225="HUD FMR",INDEX('Data - Reference'!$B$31:$G$31,MATCH($E225,'Data - Reference'!$B$9:$G$9,0)),INDEX('Data - Reference'!$B$9:$G$31,MATCH($K225,'Data - Reference'!$B$9:$B$31,0),MATCH($E225,'Data - Reference'!$B$9:$G$9,0))))),0)</f>
        <v>0</v>
      </c>
      <c r="Y225" s="71">
        <f>IFERROR(IF(INDEX(AD$14:AD$18,MATCH($E225,$AB$14:$AB$18,0))&lt;&gt;0,INDEX(AD$14:AD$18,MATCH($E225,$AB$14:$AB$18,0)),
IF($K225="None - Market",0,-INDEX('Data - Reference'!$B$32:$G$32,MATCH($E225,'Data - Reference'!$B$9:$G$9,0)))),0)</f>
        <v>0</v>
      </c>
      <c r="Z225" s="74">
        <f t="shared" si="62"/>
        <v>0</v>
      </c>
      <c r="AA225" s="67">
        <f t="shared" si="55"/>
        <v>0</v>
      </c>
      <c r="AB225" s="97">
        <f t="shared" si="56"/>
        <v>0</v>
      </c>
      <c r="AC225" s="82">
        <f t="shared" si="5"/>
        <v>0</v>
      </c>
      <c r="AD225" s="83">
        <f t="shared" si="57"/>
        <v>0</v>
      </c>
      <c r="AE225" s="97">
        <f t="shared" si="58"/>
        <v>0</v>
      </c>
      <c r="AF225" s="415" t="str">
        <f t="shared" si="63"/>
        <v>NA</v>
      </c>
      <c r="AG225" s="420" t="str">
        <f t="shared" si="59"/>
        <v>NA</v>
      </c>
      <c r="AH225" s="420" t="str">
        <f t="shared" si="60"/>
        <v>NA</v>
      </c>
      <c r="AI225" s="417" t="str">
        <f t="shared" si="46"/>
        <v>NA</v>
      </c>
      <c r="AJ225" s="417" t="str">
        <f t="shared" si="61"/>
        <v>NA</v>
      </c>
      <c r="AK225" s="524" t="str">
        <f>IFERROR(INDEX('Legacy Resident Reference'!R:R,MATCH('Unit Summary - Rent Roll'!AJ225,'Legacy Resident Reference'!P:P,0)),"NA")</f>
        <v>NA</v>
      </c>
    </row>
    <row r="226" spans="2:37" ht="13.8" hidden="1" outlineLevel="1" x14ac:dyDescent="0.3">
      <c r="B226" s="236">
        <v>200</v>
      </c>
      <c r="C226" s="580" t="s">
        <v>143</v>
      </c>
      <c r="D226" s="581"/>
      <c r="E226" s="186" t="s">
        <v>139</v>
      </c>
      <c r="F226" s="187">
        <v>0</v>
      </c>
      <c r="G226" s="239" t="s">
        <v>85</v>
      </c>
      <c r="H226" s="243">
        <v>0</v>
      </c>
      <c r="I226" s="373">
        <f t="shared" si="50"/>
        <v>0</v>
      </c>
      <c r="J226" s="250" t="s">
        <v>139</v>
      </c>
      <c r="K226" s="508" t="s">
        <v>139</v>
      </c>
      <c r="L226" s="399" t="s">
        <v>139</v>
      </c>
      <c r="M226" s="403">
        <v>0</v>
      </c>
      <c r="N226" s="282" t="s">
        <v>139</v>
      </c>
      <c r="O226" s="302" t="str">
        <f>IF(OR(M226=0,N226="NA"),"NA",IFERROR(INDEX('Data - Reference'!$B$37:$B$50,MATCH('Unit Summary - Rent Roll'!$M226,INDEX('Data - Reference'!$B$37:$J$50,,MATCH('Unit Summary - Rent Roll'!$N226,'Data - Reference'!$B$37:$J$37,0)),-1),1),"NA"))</f>
        <v>NA</v>
      </c>
      <c r="P226" s="239" t="s">
        <v>85</v>
      </c>
      <c r="Q226" s="239" t="s">
        <v>85</v>
      </c>
      <c r="R226" s="188">
        <v>0</v>
      </c>
      <c r="S226" s="364">
        <f t="shared" si="51"/>
        <v>0</v>
      </c>
      <c r="T226" s="97">
        <f t="shared" si="52"/>
        <v>0</v>
      </c>
      <c r="U226" s="188">
        <v>0</v>
      </c>
      <c r="V226" s="364">
        <f t="shared" si="53"/>
        <v>0</v>
      </c>
      <c r="W226" s="97">
        <f t="shared" si="54"/>
        <v>0</v>
      </c>
      <c r="X226" s="71">
        <f>IFERROR(IF(INDEX(AC$14:AC$18,MATCH($E226,$AB$14:$AB$18,0))&lt;&gt;0,INDEX(AC$14:AC$18,MATCH($E226,$AB$14:$AB$18,0)),
IF($M226="Market",0,IF($L226="HUD FMR",INDEX('Data - Reference'!$B$31:$G$31,MATCH($E226,'Data - Reference'!$B$9:$G$9,0)),INDEX('Data - Reference'!$B$9:$G$31,MATCH($K226,'Data - Reference'!$B$9:$B$31,0),MATCH($E226,'Data - Reference'!$B$9:$G$9,0))))),0)</f>
        <v>0</v>
      </c>
      <c r="Y226" s="71">
        <f>IFERROR(IF(INDEX(AD$14:AD$18,MATCH($E226,$AB$14:$AB$18,0))&lt;&gt;0,INDEX(AD$14:AD$18,MATCH($E226,$AB$14:$AB$18,0)),
IF($K226="None - Market",0,-INDEX('Data - Reference'!$B$32:$G$32,MATCH($E226,'Data - Reference'!$B$9:$G$9,0)))),0)</f>
        <v>0</v>
      </c>
      <c r="Z226" s="74">
        <f t="shared" si="62"/>
        <v>0</v>
      </c>
      <c r="AA226" s="67">
        <f t="shared" si="55"/>
        <v>0</v>
      </c>
      <c r="AB226" s="97">
        <f t="shared" si="56"/>
        <v>0</v>
      </c>
      <c r="AC226" s="82">
        <f t="shared" si="5"/>
        <v>0</v>
      </c>
      <c r="AD226" s="83">
        <f t="shared" si="57"/>
        <v>0</v>
      </c>
      <c r="AE226" s="97">
        <f t="shared" si="58"/>
        <v>0</v>
      </c>
      <c r="AF226" s="415" t="str">
        <f t="shared" si="63"/>
        <v>NA</v>
      </c>
      <c r="AG226" s="420" t="str">
        <f t="shared" si="59"/>
        <v>NA</v>
      </c>
      <c r="AH226" s="420" t="str">
        <f t="shared" si="60"/>
        <v>NA</v>
      </c>
      <c r="AI226" s="417" t="str">
        <f t="shared" si="46"/>
        <v>NA</v>
      </c>
      <c r="AJ226" s="417" t="str">
        <f t="shared" si="61"/>
        <v>NA</v>
      </c>
      <c r="AK226" s="524" t="str">
        <f>IFERROR(INDEX('Legacy Resident Reference'!R:R,MATCH('Unit Summary - Rent Roll'!AJ226,'Legacy Resident Reference'!P:P,0)),"NA")</f>
        <v>NA</v>
      </c>
    </row>
    <row r="227" spans="2:37" ht="13.8" hidden="1" outlineLevel="1" x14ac:dyDescent="0.3">
      <c r="B227" s="236">
        <v>201</v>
      </c>
      <c r="C227" s="580" t="s">
        <v>143</v>
      </c>
      <c r="D227" s="581"/>
      <c r="E227" s="186" t="s">
        <v>139</v>
      </c>
      <c r="F227" s="187">
        <v>0</v>
      </c>
      <c r="G227" s="239" t="s">
        <v>85</v>
      </c>
      <c r="H227" s="243">
        <v>0</v>
      </c>
      <c r="I227" s="373">
        <f t="shared" si="50"/>
        <v>0</v>
      </c>
      <c r="J227" s="250" t="s">
        <v>139</v>
      </c>
      <c r="K227" s="508" t="s">
        <v>139</v>
      </c>
      <c r="L227" s="399" t="s">
        <v>139</v>
      </c>
      <c r="M227" s="403">
        <v>0</v>
      </c>
      <c r="N227" s="282" t="s">
        <v>139</v>
      </c>
      <c r="O227" s="302" t="str">
        <f>IF(OR(M227=0,N227="NA"),"NA",IFERROR(INDEX('Data - Reference'!$B$37:$B$50,MATCH('Unit Summary - Rent Roll'!$M227,INDEX('Data - Reference'!$B$37:$J$50,,MATCH('Unit Summary - Rent Roll'!$N227,'Data - Reference'!$B$37:$J$37,0)),-1),1),"NA"))</f>
        <v>NA</v>
      </c>
      <c r="P227" s="239" t="s">
        <v>85</v>
      </c>
      <c r="Q227" s="239" t="s">
        <v>85</v>
      </c>
      <c r="R227" s="188">
        <v>0</v>
      </c>
      <c r="S227" s="364">
        <f t="shared" si="51"/>
        <v>0</v>
      </c>
      <c r="T227" s="97">
        <f t="shared" si="52"/>
        <v>0</v>
      </c>
      <c r="U227" s="188">
        <v>0</v>
      </c>
      <c r="V227" s="364">
        <f t="shared" si="53"/>
        <v>0</v>
      </c>
      <c r="W227" s="97">
        <f t="shared" si="54"/>
        <v>0</v>
      </c>
      <c r="X227" s="71">
        <f>IFERROR(IF(INDEX(AC$14:AC$18,MATCH($E227,$AB$14:$AB$18,0))&lt;&gt;0,INDEX(AC$14:AC$18,MATCH($E227,$AB$14:$AB$18,0)),
IF($M227="Market",0,IF($L227="HUD FMR",INDEX('Data - Reference'!$B$31:$G$31,MATCH($E227,'Data - Reference'!$B$9:$G$9,0)),INDEX('Data - Reference'!$B$9:$G$31,MATCH($K227,'Data - Reference'!$B$9:$B$31,0),MATCH($E227,'Data - Reference'!$B$9:$G$9,0))))),0)</f>
        <v>0</v>
      </c>
      <c r="Y227" s="71">
        <f>IFERROR(IF(INDEX(AD$14:AD$18,MATCH($E227,$AB$14:$AB$18,0))&lt;&gt;0,INDEX(AD$14:AD$18,MATCH($E227,$AB$14:$AB$18,0)),
IF($K227="None - Market",0,-INDEX('Data - Reference'!$B$32:$G$32,MATCH($E227,'Data - Reference'!$B$9:$G$9,0)))),0)</f>
        <v>0</v>
      </c>
      <c r="Z227" s="74">
        <f t="shared" si="62"/>
        <v>0</v>
      </c>
      <c r="AA227" s="67">
        <f t="shared" si="55"/>
        <v>0</v>
      </c>
      <c r="AB227" s="97">
        <f t="shared" si="56"/>
        <v>0</v>
      </c>
      <c r="AC227" s="82">
        <f t="shared" si="5"/>
        <v>0</v>
      </c>
      <c r="AD227" s="83">
        <f t="shared" si="57"/>
        <v>0</v>
      </c>
      <c r="AE227" s="97">
        <f t="shared" si="58"/>
        <v>0</v>
      </c>
      <c r="AF227" s="415" t="str">
        <f t="shared" si="63"/>
        <v>NA</v>
      </c>
      <c r="AG227" s="420" t="str">
        <f t="shared" si="59"/>
        <v>NA</v>
      </c>
      <c r="AH227" s="420" t="str">
        <f t="shared" si="60"/>
        <v>NA</v>
      </c>
      <c r="AI227" s="417" t="str">
        <f t="shared" si="46"/>
        <v>NA</v>
      </c>
      <c r="AJ227" s="417" t="str">
        <f t="shared" si="61"/>
        <v>NA</v>
      </c>
      <c r="AK227" s="524" t="str">
        <f>IFERROR(INDEX('Legacy Resident Reference'!R:R,MATCH('Unit Summary - Rent Roll'!AJ227,'Legacy Resident Reference'!P:P,0)),"NA")</f>
        <v>NA</v>
      </c>
    </row>
    <row r="228" spans="2:37" ht="13.8" hidden="1" outlineLevel="1" x14ac:dyDescent="0.3">
      <c r="B228" s="236">
        <v>202</v>
      </c>
      <c r="C228" s="580" t="s">
        <v>143</v>
      </c>
      <c r="D228" s="581"/>
      <c r="E228" s="186" t="s">
        <v>139</v>
      </c>
      <c r="F228" s="187">
        <v>0</v>
      </c>
      <c r="G228" s="239" t="s">
        <v>85</v>
      </c>
      <c r="H228" s="243">
        <v>0</v>
      </c>
      <c r="I228" s="374">
        <f t="shared" ref="I228:I291" si="64">F228*H228</f>
        <v>0</v>
      </c>
      <c r="J228" s="250" t="s">
        <v>139</v>
      </c>
      <c r="K228" s="508" t="s">
        <v>139</v>
      </c>
      <c r="L228" s="399" t="s">
        <v>139</v>
      </c>
      <c r="M228" s="403">
        <v>0</v>
      </c>
      <c r="N228" s="282" t="s">
        <v>139</v>
      </c>
      <c r="O228" s="302" t="str">
        <f>IF(OR(M228=0,N228="NA"),"NA",IFERROR(INDEX('Data - Reference'!$B$37:$B$50,MATCH('Unit Summary - Rent Roll'!$M228,INDEX('Data - Reference'!$B$37:$J$50,,MATCH('Unit Summary - Rent Roll'!$N228,'Data - Reference'!$B$37:$J$37,0)),-1),1),"NA"))</f>
        <v>NA</v>
      </c>
      <c r="P228" s="239" t="s">
        <v>85</v>
      </c>
      <c r="Q228" s="239" t="s">
        <v>85</v>
      </c>
      <c r="R228" s="188">
        <v>0</v>
      </c>
      <c r="S228" s="364">
        <f t="shared" ref="S228:S291" si="65">IFERROR(R228/$F228,0)</f>
        <v>0</v>
      </c>
      <c r="T228" s="97">
        <f t="shared" ref="T228:T291" si="66">IF(G228="Y",R228*$H228*12,0)</f>
        <v>0</v>
      </c>
      <c r="U228" s="188">
        <v>0</v>
      </c>
      <c r="V228" s="364">
        <f t="shared" ref="V228:V291" si="67">IFERROR(U228/$F228,0)</f>
        <v>0</v>
      </c>
      <c r="W228" s="97">
        <f t="shared" ref="W228:W291" si="68">U228*$H228*12</f>
        <v>0</v>
      </c>
      <c r="X228" s="71">
        <f>IFERROR(IF(INDEX(AC$14:AC$18,MATCH($E228,$AB$14:$AB$18,0))&lt;&gt;0,INDEX(AC$14:AC$18,MATCH($E228,$AB$14:$AB$18,0)),
IF($M228="Market",0,IF($L228="HUD FMR",INDEX('Data - Reference'!$B$31:$G$31,MATCH($E228,'Data - Reference'!$B$9:$G$9,0)),INDEX('Data - Reference'!$B$9:$G$31,MATCH($K228,'Data - Reference'!$B$9:$B$31,0),MATCH($E228,'Data - Reference'!$B$9:$G$9,0))))),0)</f>
        <v>0</v>
      </c>
      <c r="Y228" s="71">
        <f>IFERROR(IF(INDEX(AD$14:AD$18,MATCH($E228,$AB$14:$AB$18,0))&lt;&gt;0,INDEX(AD$14:AD$18,MATCH($E228,$AB$14:$AB$18,0)),
IF($K228="None - Market",0,-INDEX('Data - Reference'!$B$32:$G$32,MATCH($E228,'Data - Reference'!$B$9:$G$9,0)))),0)</f>
        <v>0</v>
      </c>
      <c r="Z228" s="74">
        <f t="shared" si="62"/>
        <v>0</v>
      </c>
      <c r="AA228" s="67">
        <f t="shared" ref="AA228:AA291" si="69">IFERROR(Z228/$F228,0)</f>
        <v>0</v>
      </c>
      <c r="AB228" s="97">
        <f t="shared" ref="AB228:AB291" si="70">Z228*$H228*12</f>
        <v>0</v>
      </c>
      <c r="AC228" s="82">
        <f t="shared" si="5"/>
        <v>0</v>
      </c>
      <c r="AD228" s="83">
        <f t="shared" ref="AD228:AD291" si="71">IFERROR(AC228/$F228,0)</f>
        <v>0</v>
      </c>
      <c r="AE228" s="97">
        <f t="shared" ref="AE228:AE291" si="72">AC228*$H228*12</f>
        <v>0</v>
      </c>
      <c r="AF228" s="415" t="str">
        <f t="shared" si="63"/>
        <v>NA</v>
      </c>
      <c r="AG228" s="420" t="str">
        <f t="shared" ref="AG228:AG291" si="73">IFERROR(IF(AND(OR(AJ228="1a",AJ228="2a"),OR(AH228="Y",AI228="Y")),"Y",
IF(AND(OR(AJ228="1b",AJ228="2b"),AF228="Y"),"Y",
IF(AJ228="4","Y",
IF(AJ228="NA","NA",
"N")))),"NA")</f>
        <v>NA</v>
      </c>
      <c r="AH228" s="420" t="str">
        <f t="shared" ref="AH228:AH291" si="74">IFERROR(IF(OR(G228="N",AE228=0),"NA",
IF(M228=0,"Input Current Household Income",
IF(G228="Y",IF(OR(J228="PBV - Income-Restricted",J228="PBRA - Income-Restricted",(U228-Y228)&lt;=M228/12*0.3),"Y","N"),"NA"))),"NA")</f>
        <v>NA</v>
      </c>
      <c r="AI228" s="417" t="str">
        <f t="shared" si="4"/>
        <v>NA</v>
      </c>
      <c r="AJ228" s="417" t="str">
        <f t="shared" ref="AJ228:AJ291" si="75">IFERROR(IF(G228="N","NA",
(IF(AND(J228="Market",O228&gt;80%),"4",
IF(AND(O228&lt;=K228,O228&lt;=80%),"1a",
IF(AND(O228&lt;=K228,O228&gt;80%,O228&lt;=120%),"1b",
IF(AND(O228&gt;K228,O228&lt;=80%),"2a",
IF(AND(O228&gt;80%,O228&lt;=120%,O228-K228&lt;=20%),"2b",
IF(AND(O228&gt;80%,O228&lt;=120%,O228-K228&gt;20%),"3a",
IF(OR(M228=0,O228&gt;120%),"3b",
"Other"))))))))),"NA")</f>
        <v>NA</v>
      </c>
      <c r="AK228" s="524" t="str">
        <f>IFERROR(INDEX('Legacy Resident Reference'!R:R,MATCH('Unit Summary - Rent Roll'!AJ228,'Legacy Resident Reference'!P:P,0)),"NA")</f>
        <v>NA</v>
      </c>
    </row>
    <row r="229" spans="2:37" ht="13.8" hidden="1" outlineLevel="1" x14ac:dyDescent="0.3">
      <c r="B229" s="236">
        <v>203</v>
      </c>
      <c r="C229" s="580" t="s">
        <v>143</v>
      </c>
      <c r="D229" s="581"/>
      <c r="E229" s="186" t="s">
        <v>139</v>
      </c>
      <c r="F229" s="187">
        <v>0</v>
      </c>
      <c r="G229" s="239" t="s">
        <v>85</v>
      </c>
      <c r="H229" s="243">
        <v>0</v>
      </c>
      <c r="I229" s="373">
        <f t="shared" si="64"/>
        <v>0</v>
      </c>
      <c r="J229" s="250" t="s">
        <v>139</v>
      </c>
      <c r="K229" s="508" t="s">
        <v>139</v>
      </c>
      <c r="L229" s="399" t="s">
        <v>139</v>
      </c>
      <c r="M229" s="403">
        <v>0</v>
      </c>
      <c r="N229" s="282" t="s">
        <v>139</v>
      </c>
      <c r="O229" s="302" t="str">
        <f>IF(OR(M229=0,N229="NA"),"NA",IFERROR(INDEX('Data - Reference'!$B$37:$B$50,MATCH('Unit Summary - Rent Roll'!$M229,INDEX('Data - Reference'!$B$37:$J$50,,MATCH('Unit Summary - Rent Roll'!$N229,'Data - Reference'!$B$37:$J$37,0)),-1),1),"NA"))</f>
        <v>NA</v>
      </c>
      <c r="P229" s="239" t="s">
        <v>85</v>
      </c>
      <c r="Q229" s="239" t="s">
        <v>85</v>
      </c>
      <c r="R229" s="188">
        <v>0</v>
      </c>
      <c r="S229" s="364">
        <f t="shared" si="65"/>
        <v>0</v>
      </c>
      <c r="T229" s="97">
        <f t="shared" si="66"/>
        <v>0</v>
      </c>
      <c r="U229" s="188">
        <v>0</v>
      </c>
      <c r="V229" s="364">
        <f t="shared" si="67"/>
        <v>0</v>
      </c>
      <c r="W229" s="97">
        <f t="shared" si="68"/>
        <v>0</v>
      </c>
      <c r="X229" s="71">
        <f>IFERROR(IF(INDEX(AC$14:AC$18,MATCH($E229,$AB$14:$AB$18,0))&lt;&gt;0,INDEX(AC$14:AC$18,MATCH($E229,$AB$14:$AB$18,0)),
IF($M229="Market",0,IF($L229="HUD FMR",INDEX('Data - Reference'!$B$31:$G$31,MATCH($E229,'Data - Reference'!$B$9:$G$9,0)),INDEX('Data - Reference'!$B$9:$G$31,MATCH($K229,'Data - Reference'!$B$9:$B$31,0),MATCH($E229,'Data - Reference'!$B$9:$G$9,0))))),0)</f>
        <v>0</v>
      </c>
      <c r="Y229" s="71">
        <f>IFERROR(IF(INDEX(AD$14:AD$18,MATCH($E229,$AB$14:$AB$18,0))&lt;&gt;0,INDEX(AD$14:AD$18,MATCH($E229,$AB$14:$AB$18,0)),
IF($K229="None - Market",0,-INDEX('Data - Reference'!$B$32:$G$32,MATCH($E229,'Data - Reference'!$B$9:$G$9,0)))),0)</f>
        <v>0</v>
      </c>
      <c r="Z229" s="74">
        <f t="shared" si="62"/>
        <v>0</v>
      </c>
      <c r="AA229" s="67">
        <f t="shared" si="69"/>
        <v>0</v>
      </c>
      <c r="AB229" s="97">
        <f t="shared" si="70"/>
        <v>0</v>
      </c>
      <c r="AC229" s="82">
        <f t="shared" si="5"/>
        <v>0</v>
      </c>
      <c r="AD229" s="83">
        <f t="shared" si="71"/>
        <v>0</v>
      </c>
      <c r="AE229" s="97">
        <f t="shared" si="72"/>
        <v>0</v>
      </c>
      <c r="AF229" s="415" t="str">
        <f t="shared" si="63"/>
        <v>NA</v>
      </c>
      <c r="AG229" s="420" t="str">
        <f t="shared" si="73"/>
        <v>NA</v>
      </c>
      <c r="AH229" s="420" t="str">
        <f t="shared" si="74"/>
        <v>NA</v>
      </c>
      <c r="AI229" s="417" t="str">
        <f t="shared" si="4"/>
        <v>NA</v>
      </c>
      <c r="AJ229" s="417" t="str">
        <f t="shared" si="75"/>
        <v>NA</v>
      </c>
      <c r="AK229" s="524" t="str">
        <f>IFERROR(INDEX('Legacy Resident Reference'!R:R,MATCH('Unit Summary - Rent Roll'!AJ229,'Legacy Resident Reference'!P:P,0)),"NA")</f>
        <v>NA</v>
      </c>
    </row>
    <row r="230" spans="2:37" ht="13.8" hidden="1" outlineLevel="1" x14ac:dyDescent="0.3">
      <c r="B230" s="236">
        <v>204</v>
      </c>
      <c r="C230" s="580" t="s">
        <v>143</v>
      </c>
      <c r="D230" s="581"/>
      <c r="E230" s="186" t="s">
        <v>139</v>
      </c>
      <c r="F230" s="187">
        <v>0</v>
      </c>
      <c r="G230" s="239" t="s">
        <v>85</v>
      </c>
      <c r="H230" s="243">
        <v>0</v>
      </c>
      <c r="I230" s="373">
        <f t="shared" si="64"/>
        <v>0</v>
      </c>
      <c r="J230" s="250" t="s">
        <v>139</v>
      </c>
      <c r="K230" s="508" t="s">
        <v>139</v>
      </c>
      <c r="L230" s="399" t="s">
        <v>139</v>
      </c>
      <c r="M230" s="403">
        <v>0</v>
      </c>
      <c r="N230" s="282" t="s">
        <v>139</v>
      </c>
      <c r="O230" s="302" t="str">
        <f>IF(OR(M230=0,N230="NA"),"NA",IFERROR(INDEX('Data - Reference'!$B$37:$B$50,MATCH('Unit Summary - Rent Roll'!$M230,INDEX('Data - Reference'!$B$37:$J$50,,MATCH('Unit Summary - Rent Roll'!$N230,'Data - Reference'!$B$37:$J$37,0)),-1),1),"NA"))</f>
        <v>NA</v>
      </c>
      <c r="P230" s="239" t="s">
        <v>85</v>
      </c>
      <c r="Q230" s="239" t="s">
        <v>85</v>
      </c>
      <c r="R230" s="188">
        <v>0</v>
      </c>
      <c r="S230" s="364">
        <f t="shared" si="65"/>
        <v>0</v>
      </c>
      <c r="T230" s="97">
        <f t="shared" si="66"/>
        <v>0</v>
      </c>
      <c r="U230" s="188">
        <v>0</v>
      </c>
      <c r="V230" s="364">
        <f t="shared" si="67"/>
        <v>0</v>
      </c>
      <c r="W230" s="97">
        <f t="shared" si="68"/>
        <v>0</v>
      </c>
      <c r="X230" s="71">
        <f>IFERROR(IF(INDEX(AC$14:AC$18,MATCH($E230,$AB$14:$AB$18,0))&lt;&gt;0,INDEX(AC$14:AC$18,MATCH($E230,$AB$14:$AB$18,0)),
IF($M230="Market",0,IF($L230="HUD FMR",INDEX('Data - Reference'!$B$31:$G$31,MATCH($E230,'Data - Reference'!$B$9:$G$9,0)),INDEX('Data - Reference'!$B$9:$G$31,MATCH($K230,'Data - Reference'!$B$9:$B$31,0),MATCH($E230,'Data - Reference'!$B$9:$G$9,0))))),0)</f>
        <v>0</v>
      </c>
      <c r="Y230" s="71">
        <f>IFERROR(IF(INDEX(AD$14:AD$18,MATCH($E230,$AB$14:$AB$18,0))&lt;&gt;0,INDEX(AD$14:AD$18,MATCH($E230,$AB$14:$AB$18,0)),
IF($K230="None - Market",0,-INDEX('Data - Reference'!$B$32:$G$32,MATCH($E230,'Data - Reference'!$B$9:$G$9,0)))),0)</f>
        <v>0</v>
      </c>
      <c r="Z230" s="74">
        <f t="shared" si="62"/>
        <v>0</v>
      </c>
      <c r="AA230" s="67">
        <f t="shared" si="69"/>
        <v>0</v>
      </c>
      <c r="AB230" s="97">
        <f t="shared" si="70"/>
        <v>0</v>
      </c>
      <c r="AC230" s="82">
        <f t="shared" si="5"/>
        <v>0</v>
      </c>
      <c r="AD230" s="83">
        <f t="shared" si="71"/>
        <v>0</v>
      </c>
      <c r="AE230" s="97">
        <f t="shared" si="72"/>
        <v>0</v>
      </c>
      <c r="AF230" s="415" t="str">
        <f t="shared" si="63"/>
        <v>NA</v>
      </c>
      <c r="AG230" s="420" t="str">
        <f t="shared" si="73"/>
        <v>NA</v>
      </c>
      <c r="AH230" s="420" t="str">
        <f t="shared" si="74"/>
        <v>NA</v>
      </c>
      <c r="AI230" s="417" t="str">
        <f t="shared" si="4"/>
        <v>NA</v>
      </c>
      <c r="AJ230" s="417" t="str">
        <f t="shared" si="75"/>
        <v>NA</v>
      </c>
      <c r="AK230" s="524" t="str">
        <f>IFERROR(INDEX('Legacy Resident Reference'!R:R,MATCH('Unit Summary - Rent Roll'!AJ230,'Legacy Resident Reference'!P:P,0)),"NA")</f>
        <v>NA</v>
      </c>
    </row>
    <row r="231" spans="2:37" ht="13.8" hidden="1" outlineLevel="1" x14ac:dyDescent="0.3">
      <c r="B231" s="236">
        <v>205</v>
      </c>
      <c r="C231" s="580" t="s">
        <v>143</v>
      </c>
      <c r="D231" s="581"/>
      <c r="E231" s="186" t="s">
        <v>139</v>
      </c>
      <c r="F231" s="187">
        <v>0</v>
      </c>
      <c r="G231" s="239" t="s">
        <v>85</v>
      </c>
      <c r="H231" s="243">
        <v>0</v>
      </c>
      <c r="I231" s="373">
        <f t="shared" si="64"/>
        <v>0</v>
      </c>
      <c r="J231" s="250" t="s">
        <v>139</v>
      </c>
      <c r="K231" s="508" t="s">
        <v>139</v>
      </c>
      <c r="L231" s="399" t="s">
        <v>139</v>
      </c>
      <c r="M231" s="403">
        <v>0</v>
      </c>
      <c r="N231" s="282" t="s">
        <v>139</v>
      </c>
      <c r="O231" s="302" t="str">
        <f>IF(OR(M231=0,N231="NA"),"NA",IFERROR(INDEX('Data - Reference'!$B$37:$B$50,MATCH('Unit Summary - Rent Roll'!$M231,INDEX('Data - Reference'!$B$37:$J$50,,MATCH('Unit Summary - Rent Roll'!$N231,'Data - Reference'!$B$37:$J$37,0)),-1),1),"NA"))</f>
        <v>NA</v>
      </c>
      <c r="P231" s="239" t="s">
        <v>85</v>
      </c>
      <c r="Q231" s="239" t="s">
        <v>85</v>
      </c>
      <c r="R231" s="188">
        <v>0</v>
      </c>
      <c r="S231" s="364">
        <f t="shared" si="65"/>
        <v>0</v>
      </c>
      <c r="T231" s="97">
        <f t="shared" si="66"/>
        <v>0</v>
      </c>
      <c r="U231" s="188">
        <v>0</v>
      </c>
      <c r="V231" s="364">
        <f t="shared" si="67"/>
        <v>0</v>
      </c>
      <c r="W231" s="97">
        <f t="shared" si="68"/>
        <v>0</v>
      </c>
      <c r="X231" s="71">
        <f>IFERROR(IF(INDEX(AC$14:AC$18,MATCH($E231,$AB$14:$AB$18,0))&lt;&gt;0,INDEX(AC$14:AC$18,MATCH($E231,$AB$14:$AB$18,0)),
IF($M231="Market",0,IF($L231="HUD FMR",INDEX('Data - Reference'!$B$31:$G$31,MATCH($E231,'Data - Reference'!$B$9:$G$9,0)),INDEX('Data - Reference'!$B$9:$G$31,MATCH($K231,'Data - Reference'!$B$9:$B$31,0),MATCH($E231,'Data - Reference'!$B$9:$G$9,0))))),0)</f>
        <v>0</v>
      </c>
      <c r="Y231" s="71">
        <f>IFERROR(IF(INDEX(AD$14:AD$18,MATCH($E231,$AB$14:$AB$18,0))&lt;&gt;0,INDEX(AD$14:AD$18,MATCH($E231,$AB$14:$AB$18,0)),
IF($K231="None - Market",0,-INDEX('Data - Reference'!$B$32:$G$32,MATCH($E231,'Data - Reference'!$B$9:$G$9,0)))),0)</f>
        <v>0</v>
      </c>
      <c r="Z231" s="74">
        <f t="shared" si="62"/>
        <v>0</v>
      </c>
      <c r="AA231" s="67">
        <f t="shared" si="69"/>
        <v>0</v>
      </c>
      <c r="AB231" s="97">
        <f t="shared" si="70"/>
        <v>0</v>
      </c>
      <c r="AC231" s="82">
        <f t="shared" si="5"/>
        <v>0</v>
      </c>
      <c r="AD231" s="83">
        <f t="shared" si="71"/>
        <v>0</v>
      </c>
      <c r="AE231" s="97">
        <f t="shared" si="72"/>
        <v>0</v>
      </c>
      <c r="AF231" s="415" t="str">
        <f t="shared" si="63"/>
        <v>NA</v>
      </c>
      <c r="AG231" s="420" t="str">
        <f t="shared" si="73"/>
        <v>NA</v>
      </c>
      <c r="AH231" s="420" t="str">
        <f t="shared" si="74"/>
        <v>NA</v>
      </c>
      <c r="AI231" s="417" t="str">
        <f t="shared" si="4"/>
        <v>NA</v>
      </c>
      <c r="AJ231" s="417" t="str">
        <f t="shared" si="75"/>
        <v>NA</v>
      </c>
      <c r="AK231" s="524" t="str">
        <f>IFERROR(INDEX('Legacy Resident Reference'!R:R,MATCH('Unit Summary - Rent Roll'!AJ231,'Legacy Resident Reference'!P:P,0)),"NA")</f>
        <v>NA</v>
      </c>
    </row>
    <row r="232" spans="2:37" ht="13.8" hidden="1" outlineLevel="1" x14ac:dyDescent="0.3">
      <c r="B232" s="236">
        <v>206</v>
      </c>
      <c r="C232" s="580" t="s">
        <v>143</v>
      </c>
      <c r="D232" s="581"/>
      <c r="E232" s="186" t="s">
        <v>139</v>
      </c>
      <c r="F232" s="187">
        <v>0</v>
      </c>
      <c r="G232" s="239" t="s">
        <v>85</v>
      </c>
      <c r="H232" s="243">
        <v>0</v>
      </c>
      <c r="I232" s="373">
        <f t="shared" si="64"/>
        <v>0</v>
      </c>
      <c r="J232" s="250" t="s">
        <v>139</v>
      </c>
      <c r="K232" s="508" t="s">
        <v>139</v>
      </c>
      <c r="L232" s="399" t="s">
        <v>139</v>
      </c>
      <c r="M232" s="403">
        <v>0</v>
      </c>
      <c r="N232" s="282" t="s">
        <v>139</v>
      </c>
      <c r="O232" s="302" t="str">
        <f>IF(OR(M232=0,N232="NA"),"NA",IFERROR(INDEX('Data - Reference'!$B$37:$B$50,MATCH('Unit Summary - Rent Roll'!$M232,INDEX('Data - Reference'!$B$37:$J$50,,MATCH('Unit Summary - Rent Roll'!$N232,'Data - Reference'!$B$37:$J$37,0)),-1),1),"NA"))</f>
        <v>NA</v>
      </c>
      <c r="P232" s="239" t="s">
        <v>85</v>
      </c>
      <c r="Q232" s="239" t="s">
        <v>85</v>
      </c>
      <c r="R232" s="188">
        <v>0</v>
      </c>
      <c r="S232" s="364">
        <f t="shared" si="65"/>
        <v>0</v>
      </c>
      <c r="T232" s="97">
        <f t="shared" si="66"/>
        <v>0</v>
      </c>
      <c r="U232" s="188">
        <v>0</v>
      </c>
      <c r="V232" s="364">
        <f t="shared" si="67"/>
        <v>0</v>
      </c>
      <c r="W232" s="97">
        <f t="shared" si="68"/>
        <v>0</v>
      </c>
      <c r="X232" s="71">
        <f>IFERROR(IF(INDEX(AC$14:AC$18,MATCH($E232,$AB$14:$AB$18,0))&lt;&gt;0,INDEX(AC$14:AC$18,MATCH($E232,$AB$14:$AB$18,0)),
IF($M232="Market",0,IF($L232="HUD FMR",INDEX('Data - Reference'!$B$31:$G$31,MATCH($E232,'Data - Reference'!$B$9:$G$9,0)),INDEX('Data - Reference'!$B$9:$G$31,MATCH($K232,'Data - Reference'!$B$9:$B$31,0),MATCH($E232,'Data - Reference'!$B$9:$G$9,0))))),0)</f>
        <v>0</v>
      </c>
      <c r="Y232" s="71">
        <f>IFERROR(IF(INDEX(AD$14:AD$18,MATCH($E232,$AB$14:$AB$18,0))&lt;&gt;0,INDEX(AD$14:AD$18,MATCH($E232,$AB$14:$AB$18,0)),
IF($K232="None - Market",0,-INDEX('Data - Reference'!$B$32:$G$32,MATCH($E232,'Data - Reference'!$B$9:$G$9,0)))),0)</f>
        <v>0</v>
      </c>
      <c r="Z232" s="74">
        <f t="shared" si="62"/>
        <v>0</v>
      </c>
      <c r="AA232" s="67">
        <f t="shared" si="69"/>
        <v>0</v>
      </c>
      <c r="AB232" s="97">
        <f t="shared" si="70"/>
        <v>0</v>
      </c>
      <c r="AC232" s="82">
        <f t="shared" si="5"/>
        <v>0</v>
      </c>
      <c r="AD232" s="83">
        <f t="shared" si="71"/>
        <v>0</v>
      </c>
      <c r="AE232" s="97">
        <f t="shared" si="72"/>
        <v>0</v>
      </c>
      <c r="AF232" s="415" t="str">
        <f t="shared" si="63"/>
        <v>NA</v>
      </c>
      <c r="AG232" s="420" t="str">
        <f t="shared" si="73"/>
        <v>NA</v>
      </c>
      <c r="AH232" s="420" t="str">
        <f t="shared" si="74"/>
        <v>NA</v>
      </c>
      <c r="AI232" s="417" t="str">
        <f t="shared" si="4"/>
        <v>NA</v>
      </c>
      <c r="AJ232" s="417" t="str">
        <f t="shared" si="75"/>
        <v>NA</v>
      </c>
      <c r="AK232" s="524" t="str">
        <f>IFERROR(INDEX('Legacy Resident Reference'!R:R,MATCH('Unit Summary - Rent Roll'!AJ232,'Legacy Resident Reference'!P:P,0)),"NA")</f>
        <v>NA</v>
      </c>
    </row>
    <row r="233" spans="2:37" ht="13.8" hidden="1" outlineLevel="1" x14ac:dyDescent="0.3">
      <c r="B233" s="236">
        <v>207</v>
      </c>
      <c r="C233" s="580" t="s">
        <v>143</v>
      </c>
      <c r="D233" s="581"/>
      <c r="E233" s="186" t="s">
        <v>139</v>
      </c>
      <c r="F233" s="187">
        <v>0</v>
      </c>
      <c r="G233" s="239" t="s">
        <v>85</v>
      </c>
      <c r="H233" s="243">
        <v>0</v>
      </c>
      <c r="I233" s="373">
        <f t="shared" si="64"/>
        <v>0</v>
      </c>
      <c r="J233" s="250" t="s">
        <v>139</v>
      </c>
      <c r="K233" s="508" t="s">
        <v>139</v>
      </c>
      <c r="L233" s="399" t="s">
        <v>139</v>
      </c>
      <c r="M233" s="403">
        <v>0</v>
      </c>
      <c r="N233" s="282" t="s">
        <v>139</v>
      </c>
      <c r="O233" s="302" t="str">
        <f>IF(OR(M233=0,N233="NA"),"NA",IFERROR(INDEX('Data - Reference'!$B$37:$B$50,MATCH('Unit Summary - Rent Roll'!$M233,INDEX('Data - Reference'!$B$37:$J$50,,MATCH('Unit Summary - Rent Roll'!$N233,'Data - Reference'!$B$37:$J$37,0)),-1),1),"NA"))</f>
        <v>NA</v>
      </c>
      <c r="P233" s="239" t="s">
        <v>85</v>
      </c>
      <c r="Q233" s="239" t="s">
        <v>85</v>
      </c>
      <c r="R233" s="188">
        <v>0</v>
      </c>
      <c r="S233" s="364">
        <f t="shared" si="65"/>
        <v>0</v>
      </c>
      <c r="T233" s="97">
        <f t="shared" si="66"/>
        <v>0</v>
      </c>
      <c r="U233" s="188">
        <v>0</v>
      </c>
      <c r="V233" s="364">
        <f t="shared" si="67"/>
        <v>0</v>
      </c>
      <c r="W233" s="97">
        <f t="shared" si="68"/>
        <v>0</v>
      </c>
      <c r="X233" s="71">
        <f>IFERROR(IF(INDEX(AC$14:AC$18,MATCH($E233,$AB$14:$AB$18,0))&lt;&gt;0,INDEX(AC$14:AC$18,MATCH($E233,$AB$14:$AB$18,0)),
IF($M233="Market",0,IF($L233="HUD FMR",INDEX('Data - Reference'!$B$31:$G$31,MATCH($E233,'Data - Reference'!$B$9:$G$9,0)),INDEX('Data - Reference'!$B$9:$G$31,MATCH($K233,'Data - Reference'!$B$9:$B$31,0),MATCH($E233,'Data - Reference'!$B$9:$G$9,0))))),0)</f>
        <v>0</v>
      </c>
      <c r="Y233" s="71">
        <f>IFERROR(IF(INDEX(AD$14:AD$18,MATCH($E233,$AB$14:$AB$18,0))&lt;&gt;0,INDEX(AD$14:AD$18,MATCH($E233,$AB$14:$AB$18,0)),
IF($K233="None - Market",0,-INDEX('Data - Reference'!$B$32:$G$32,MATCH($E233,'Data - Reference'!$B$9:$G$9,0)))),0)</f>
        <v>0</v>
      </c>
      <c r="Z233" s="74">
        <f t="shared" si="62"/>
        <v>0</v>
      </c>
      <c r="AA233" s="67">
        <f t="shared" si="69"/>
        <v>0</v>
      </c>
      <c r="AB233" s="97">
        <f t="shared" si="70"/>
        <v>0</v>
      </c>
      <c r="AC233" s="82">
        <f t="shared" si="5"/>
        <v>0</v>
      </c>
      <c r="AD233" s="83">
        <f t="shared" si="71"/>
        <v>0</v>
      </c>
      <c r="AE233" s="97">
        <f t="shared" si="72"/>
        <v>0</v>
      </c>
      <c r="AF233" s="415" t="str">
        <f t="shared" si="63"/>
        <v>NA</v>
      </c>
      <c r="AG233" s="420" t="str">
        <f t="shared" si="73"/>
        <v>NA</v>
      </c>
      <c r="AH233" s="420" t="str">
        <f t="shared" si="74"/>
        <v>NA</v>
      </c>
      <c r="AI233" s="417" t="str">
        <f t="shared" si="4"/>
        <v>NA</v>
      </c>
      <c r="AJ233" s="417" t="str">
        <f t="shared" si="75"/>
        <v>NA</v>
      </c>
      <c r="AK233" s="524" t="str">
        <f>IFERROR(INDEX('Legacy Resident Reference'!R:R,MATCH('Unit Summary - Rent Roll'!AJ233,'Legacy Resident Reference'!P:P,0)),"NA")</f>
        <v>NA</v>
      </c>
    </row>
    <row r="234" spans="2:37" ht="13.8" hidden="1" outlineLevel="1" x14ac:dyDescent="0.3">
      <c r="B234" s="236">
        <v>208</v>
      </c>
      <c r="C234" s="580" t="s">
        <v>143</v>
      </c>
      <c r="D234" s="581"/>
      <c r="E234" s="186" t="s">
        <v>139</v>
      </c>
      <c r="F234" s="187">
        <v>0</v>
      </c>
      <c r="G234" s="239" t="s">
        <v>85</v>
      </c>
      <c r="H234" s="243">
        <v>0</v>
      </c>
      <c r="I234" s="373">
        <f t="shared" si="64"/>
        <v>0</v>
      </c>
      <c r="J234" s="250" t="s">
        <v>139</v>
      </c>
      <c r="K234" s="508" t="s">
        <v>139</v>
      </c>
      <c r="L234" s="399" t="s">
        <v>139</v>
      </c>
      <c r="M234" s="403">
        <v>0</v>
      </c>
      <c r="N234" s="282" t="s">
        <v>139</v>
      </c>
      <c r="O234" s="302" t="str">
        <f>IF(OR(M234=0,N234="NA"),"NA",IFERROR(INDEX('Data - Reference'!$B$37:$B$50,MATCH('Unit Summary - Rent Roll'!$M234,INDEX('Data - Reference'!$B$37:$J$50,,MATCH('Unit Summary - Rent Roll'!$N234,'Data - Reference'!$B$37:$J$37,0)),-1),1),"NA"))</f>
        <v>NA</v>
      </c>
      <c r="P234" s="239" t="s">
        <v>85</v>
      </c>
      <c r="Q234" s="239" t="s">
        <v>85</v>
      </c>
      <c r="R234" s="188">
        <v>0</v>
      </c>
      <c r="S234" s="364">
        <f t="shared" si="65"/>
        <v>0</v>
      </c>
      <c r="T234" s="97">
        <f t="shared" si="66"/>
        <v>0</v>
      </c>
      <c r="U234" s="188">
        <v>0</v>
      </c>
      <c r="V234" s="364">
        <f t="shared" si="67"/>
        <v>0</v>
      </c>
      <c r="W234" s="97">
        <f t="shared" si="68"/>
        <v>0</v>
      </c>
      <c r="X234" s="71">
        <f>IFERROR(IF(INDEX(AC$14:AC$18,MATCH($E234,$AB$14:$AB$18,0))&lt;&gt;0,INDEX(AC$14:AC$18,MATCH($E234,$AB$14:$AB$18,0)),
IF($M234="Market",0,IF($L234="HUD FMR",INDEX('Data - Reference'!$B$31:$G$31,MATCH($E234,'Data - Reference'!$B$9:$G$9,0)),INDEX('Data - Reference'!$B$9:$G$31,MATCH($K234,'Data - Reference'!$B$9:$B$31,0),MATCH($E234,'Data - Reference'!$B$9:$G$9,0))))),0)</f>
        <v>0</v>
      </c>
      <c r="Y234" s="71">
        <f>IFERROR(IF(INDEX(AD$14:AD$18,MATCH($E234,$AB$14:$AB$18,0))&lt;&gt;0,INDEX(AD$14:AD$18,MATCH($E234,$AB$14:$AB$18,0)),
IF($K234="None - Market",0,-INDEX('Data - Reference'!$B$32:$G$32,MATCH($E234,'Data - Reference'!$B$9:$G$9,0)))),0)</f>
        <v>0</v>
      </c>
      <c r="Z234" s="74">
        <f t="shared" si="62"/>
        <v>0</v>
      </c>
      <c r="AA234" s="67">
        <f t="shared" si="69"/>
        <v>0</v>
      </c>
      <c r="AB234" s="97">
        <f t="shared" si="70"/>
        <v>0</v>
      </c>
      <c r="AC234" s="82">
        <f t="shared" si="5"/>
        <v>0</v>
      </c>
      <c r="AD234" s="83">
        <f t="shared" si="71"/>
        <v>0</v>
      </c>
      <c r="AE234" s="97">
        <f t="shared" si="72"/>
        <v>0</v>
      </c>
      <c r="AF234" s="415" t="str">
        <f t="shared" si="63"/>
        <v>NA</v>
      </c>
      <c r="AG234" s="420" t="str">
        <f t="shared" si="73"/>
        <v>NA</v>
      </c>
      <c r="AH234" s="420" t="str">
        <f t="shared" si="74"/>
        <v>NA</v>
      </c>
      <c r="AI234" s="417" t="str">
        <f t="shared" si="4"/>
        <v>NA</v>
      </c>
      <c r="AJ234" s="417" t="str">
        <f t="shared" si="75"/>
        <v>NA</v>
      </c>
      <c r="AK234" s="524" t="str">
        <f>IFERROR(INDEX('Legacy Resident Reference'!R:R,MATCH('Unit Summary - Rent Roll'!AJ234,'Legacy Resident Reference'!P:P,0)),"NA")</f>
        <v>NA</v>
      </c>
    </row>
    <row r="235" spans="2:37" ht="13.8" hidden="1" outlineLevel="1" x14ac:dyDescent="0.3">
      <c r="B235" s="236">
        <v>209</v>
      </c>
      <c r="C235" s="580" t="s">
        <v>143</v>
      </c>
      <c r="D235" s="581"/>
      <c r="E235" s="186" t="s">
        <v>139</v>
      </c>
      <c r="F235" s="187">
        <v>0</v>
      </c>
      <c r="G235" s="239" t="s">
        <v>85</v>
      </c>
      <c r="H235" s="243">
        <v>0</v>
      </c>
      <c r="I235" s="373">
        <f t="shared" si="64"/>
        <v>0</v>
      </c>
      <c r="J235" s="250" t="s">
        <v>139</v>
      </c>
      <c r="K235" s="508" t="s">
        <v>139</v>
      </c>
      <c r="L235" s="399" t="s">
        <v>139</v>
      </c>
      <c r="M235" s="403">
        <v>0</v>
      </c>
      <c r="N235" s="282" t="s">
        <v>139</v>
      </c>
      <c r="O235" s="302" t="str">
        <f>IF(OR(M235=0,N235="NA"),"NA",IFERROR(INDEX('Data - Reference'!$B$37:$B$50,MATCH('Unit Summary - Rent Roll'!$M235,INDEX('Data - Reference'!$B$37:$J$50,,MATCH('Unit Summary - Rent Roll'!$N235,'Data - Reference'!$B$37:$J$37,0)),-1),1),"NA"))</f>
        <v>NA</v>
      </c>
      <c r="P235" s="239" t="s">
        <v>85</v>
      </c>
      <c r="Q235" s="239" t="s">
        <v>85</v>
      </c>
      <c r="R235" s="188">
        <v>0</v>
      </c>
      <c r="S235" s="364">
        <f t="shared" si="65"/>
        <v>0</v>
      </c>
      <c r="T235" s="97">
        <f t="shared" si="66"/>
        <v>0</v>
      </c>
      <c r="U235" s="188">
        <v>0</v>
      </c>
      <c r="V235" s="364">
        <f t="shared" si="67"/>
        <v>0</v>
      </c>
      <c r="W235" s="97">
        <f t="shared" si="68"/>
        <v>0</v>
      </c>
      <c r="X235" s="71">
        <f>IFERROR(IF(INDEX(AC$14:AC$18,MATCH($E235,$AB$14:$AB$18,0))&lt;&gt;0,INDEX(AC$14:AC$18,MATCH($E235,$AB$14:$AB$18,0)),
IF($M235="Market",0,IF($L235="HUD FMR",INDEX('Data - Reference'!$B$31:$G$31,MATCH($E235,'Data - Reference'!$B$9:$G$9,0)),INDEX('Data - Reference'!$B$9:$G$31,MATCH($K235,'Data - Reference'!$B$9:$B$31,0),MATCH($E235,'Data - Reference'!$B$9:$G$9,0))))),0)</f>
        <v>0</v>
      </c>
      <c r="Y235" s="71">
        <f>IFERROR(IF(INDEX(AD$14:AD$18,MATCH($E235,$AB$14:$AB$18,0))&lt;&gt;0,INDEX(AD$14:AD$18,MATCH($E235,$AB$14:$AB$18,0)),
IF($K235="None - Market",0,-INDEX('Data - Reference'!$B$32:$G$32,MATCH($E235,'Data - Reference'!$B$9:$G$9,0)))),0)</f>
        <v>0</v>
      </c>
      <c r="Z235" s="74">
        <f t="shared" si="62"/>
        <v>0</v>
      </c>
      <c r="AA235" s="67">
        <f t="shared" si="69"/>
        <v>0</v>
      </c>
      <c r="AB235" s="97">
        <f t="shared" si="70"/>
        <v>0</v>
      </c>
      <c r="AC235" s="82">
        <f t="shared" si="5"/>
        <v>0</v>
      </c>
      <c r="AD235" s="83">
        <f t="shared" si="71"/>
        <v>0</v>
      </c>
      <c r="AE235" s="97">
        <f t="shared" si="72"/>
        <v>0</v>
      </c>
      <c r="AF235" s="415" t="str">
        <f t="shared" si="63"/>
        <v>NA</v>
      </c>
      <c r="AG235" s="420" t="str">
        <f t="shared" si="73"/>
        <v>NA</v>
      </c>
      <c r="AH235" s="420" t="str">
        <f t="shared" si="74"/>
        <v>NA</v>
      </c>
      <c r="AI235" s="417" t="str">
        <f t="shared" si="4"/>
        <v>NA</v>
      </c>
      <c r="AJ235" s="417" t="str">
        <f t="shared" si="75"/>
        <v>NA</v>
      </c>
      <c r="AK235" s="524" t="str">
        <f>IFERROR(INDEX('Legacy Resident Reference'!R:R,MATCH('Unit Summary - Rent Roll'!AJ235,'Legacy Resident Reference'!P:P,0)),"NA")</f>
        <v>NA</v>
      </c>
    </row>
    <row r="236" spans="2:37" ht="13.8" hidden="1" outlineLevel="1" x14ac:dyDescent="0.3">
      <c r="B236" s="236">
        <v>210</v>
      </c>
      <c r="C236" s="580" t="s">
        <v>143</v>
      </c>
      <c r="D236" s="581"/>
      <c r="E236" s="186" t="s">
        <v>139</v>
      </c>
      <c r="F236" s="187">
        <v>0</v>
      </c>
      <c r="G236" s="239" t="s">
        <v>85</v>
      </c>
      <c r="H236" s="243">
        <v>0</v>
      </c>
      <c r="I236" s="373">
        <f t="shared" si="64"/>
        <v>0</v>
      </c>
      <c r="J236" s="250" t="s">
        <v>139</v>
      </c>
      <c r="K236" s="508" t="s">
        <v>139</v>
      </c>
      <c r="L236" s="399" t="s">
        <v>139</v>
      </c>
      <c r="M236" s="403">
        <v>0</v>
      </c>
      <c r="N236" s="282" t="s">
        <v>139</v>
      </c>
      <c r="O236" s="302" t="str">
        <f>IF(OR(M236=0,N236="NA"),"NA",IFERROR(INDEX('Data - Reference'!$B$37:$B$50,MATCH('Unit Summary - Rent Roll'!$M236,INDEX('Data - Reference'!$B$37:$J$50,,MATCH('Unit Summary - Rent Roll'!$N236,'Data - Reference'!$B$37:$J$37,0)),-1),1),"NA"))</f>
        <v>NA</v>
      </c>
      <c r="P236" s="239" t="s">
        <v>85</v>
      </c>
      <c r="Q236" s="239" t="s">
        <v>85</v>
      </c>
      <c r="R236" s="188">
        <v>0</v>
      </c>
      <c r="S236" s="364">
        <f t="shared" si="65"/>
        <v>0</v>
      </c>
      <c r="T236" s="97">
        <f t="shared" si="66"/>
        <v>0</v>
      </c>
      <c r="U236" s="188">
        <v>0</v>
      </c>
      <c r="V236" s="364">
        <f t="shared" si="67"/>
        <v>0</v>
      </c>
      <c r="W236" s="97">
        <f t="shared" si="68"/>
        <v>0</v>
      </c>
      <c r="X236" s="71">
        <f>IFERROR(IF(INDEX(AC$14:AC$18,MATCH($E236,$AB$14:$AB$18,0))&lt;&gt;0,INDEX(AC$14:AC$18,MATCH($E236,$AB$14:$AB$18,0)),
IF($M236="Market",0,IF($L236="HUD FMR",INDEX('Data - Reference'!$B$31:$G$31,MATCH($E236,'Data - Reference'!$B$9:$G$9,0)),INDEX('Data - Reference'!$B$9:$G$31,MATCH($K236,'Data - Reference'!$B$9:$B$31,0),MATCH($E236,'Data - Reference'!$B$9:$G$9,0))))),0)</f>
        <v>0</v>
      </c>
      <c r="Y236" s="71">
        <f>IFERROR(IF(INDEX(AD$14:AD$18,MATCH($E236,$AB$14:$AB$18,0))&lt;&gt;0,INDEX(AD$14:AD$18,MATCH($E236,$AB$14:$AB$18,0)),
IF($K236="None - Market",0,-INDEX('Data - Reference'!$B$32:$G$32,MATCH($E236,'Data - Reference'!$B$9:$G$9,0)))),0)</f>
        <v>0</v>
      </c>
      <c r="Z236" s="74">
        <f t="shared" si="62"/>
        <v>0</v>
      </c>
      <c r="AA236" s="67">
        <f t="shared" si="69"/>
        <v>0</v>
      </c>
      <c r="AB236" s="97">
        <f t="shared" si="70"/>
        <v>0</v>
      </c>
      <c r="AC236" s="82">
        <f t="shared" si="5"/>
        <v>0</v>
      </c>
      <c r="AD236" s="83">
        <f t="shared" si="71"/>
        <v>0</v>
      </c>
      <c r="AE236" s="97">
        <f t="shared" si="72"/>
        <v>0</v>
      </c>
      <c r="AF236" s="415" t="str">
        <f t="shared" si="63"/>
        <v>NA</v>
      </c>
      <c r="AG236" s="420" t="str">
        <f t="shared" si="73"/>
        <v>NA</v>
      </c>
      <c r="AH236" s="420" t="str">
        <f t="shared" si="74"/>
        <v>NA</v>
      </c>
      <c r="AI236" s="417" t="str">
        <f t="shared" si="4"/>
        <v>NA</v>
      </c>
      <c r="AJ236" s="417" t="str">
        <f t="shared" si="75"/>
        <v>NA</v>
      </c>
      <c r="AK236" s="524" t="str">
        <f>IFERROR(INDEX('Legacy Resident Reference'!R:R,MATCH('Unit Summary - Rent Roll'!AJ236,'Legacy Resident Reference'!P:P,0)),"NA")</f>
        <v>NA</v>
      </c>
    </row>
    <row r="237" spans="2:37" ht="13.8" hidden="1" outlineLevel="1" x14ac:dyDescent="0.3">
      <c r="B237" s="236">
        <v>211</v>
      </c>
      <c r="C237" s="580" t="s">
        <v>143</v>
      </c>
      <c r="D237" s="581"/>
      <c r="E237" s="186" t="s">
        <v>139</v>
      </c>
      <c r="F237" s="187">
        <v>0</v>
      </c>
      <c r="G237" s="239" t="s">
        <v>85</v>
      </c>
      <c r="H237" s="243">
        <v>0</v>
      </c>
      <c r="I237" s="373">
        <f t="shared" si="64"/>
        <v>0</v>
      </c>
      <c r="J237" s="250" t="s">
        <v>139</v>
      </c>
      <c r="K237" s="508" t="s">
        <v>139</v>
      </c>
      <c r="L237" s="399" t="s">
        <v>139</v>
      </c>
      <c r="M237" s="403">
        <v>0</v>
      </c>
      <c r="N237" s="282" t="s">
        <v>139</v>
      </c>
      <c r="O237" s="302" t="str">
        <f>IF(OR(M237=0,N237="NA"),"NA",IFERROR(INDEX('Data - Reference'!$B$37:$B$50,MATCH('Unit Summary - Rent Roll'!$M237,INDEX('Data - Reference'!$B$37:$J$50,,MATCH('Unit Summary - Rent Roll'!$N237,'Data - Reference'!$B$37:$J$37,0)),-1),1),"NA"))</f>
        <v>NA</v>
      </c>
      <c r="P237" s="239" t="s">
        <v>85</v>
      </c>
      <c r="Q237" s="239" t="s">
        <v>85</v>
      </c>
      <c r="R237" s="188">
        <v>0</v>
      </c>
      <c r="S237" s="364">
        <f t="shared" si="65"/>
        <v>0</v>
      </c>
      <c r="T237" s="97">
        <f t="shared" si="66"/>
        <v>0</v>
      </c>
      <c r="U237" s="188">
        <v>0</v>
      </c>
      <c r="V237" s="364">
        <f t="shared" si="67"/>
        <v>0</v>
      </c>
      <c r="W237" s="97">
        <f t="shared" si="68"/>
        <v>0</v>
      </c>
      <c r="X237" s="71">
        <f>IFERROR(IF(INDEX(AC$14:AC$18,MATCH($E237,$AB$14:$AB$18,0))&lt;&gt;0,INDEX(AC$14:AC$18,MATCH($E237,$AB$14:$AB$18,0)),
IF($M237="Market",0,IF($L237="HUD FMR",INDEX('Data - Reference'!$B$31:$G$31,MATCH($E237,'Data - Reference'!$B$9:$G$9,0)),INDEX('Data - Reference'!$B$9:$G$31,MATCH($K237,'Data - Reference'!$B$9:$B$31,0),MATCH($E237,'Data - Reference'!$B$9:$G$9,0))))),0)</f>
        <v>0</v>
      </c>
      <c r="Y237" s="71">
        <f>IFERROR(IF(INDEX(AD$14:AD$18,MATCH($E237,$AB$14:$AB$18,0))&lt;&gt;0,INDEX(AD$14:AD$18,MATCH($E237,$AB$14:$AB$18,0)),
IF($K237="None - Market",0,-INDEX('Data - Reference'!$B$32:$G$32,MATCH($E237,'Data - Reference'!$B$9:$G$9,0)))),0)</f>
        <v>0</v>
      </c>
      <c r="Z237" s="74">
        <f t="shared" si="62"/>
        <v>0</v>
      </c>
      <c r="AA237" s="67">
        <f t="shared" si="69"/>
        <v>0</v>
      </c>
      <c r="AB237" s="97">
        <f t="shared" si="70"/>
        <v>0</v>
      </c>
      <c r="AC237" s="82">
        <f t="shared" si="5"/>
        <v>0</v>
      </c>
      <c r="AD237" s="83">
        <f t="shared" si="71"/>
        <v>0</v>
      </c>
      <c r="AE237" s="97">
        <f t="shared" si="72"/>
        <v>0</v>
      </c>
      <c r="AF237" s="415" t="str">
        <f t="shared" si="63"/>
        <v>NA</v>
      </c>
      <c r="AG237" s="420" t="str">
        <f t="shared" si="73"/>
        <v>NA</v>
      </c>
      <c r="AH237" s="420" t="str">
        <f t="shared" si="74"/>
        <v>NA</v>
      </c>
      <c r="AI237" s="417" t="str">
        <f t="shared" si="4"/>
        <v>NA</v>
      </c>
      <c r="AJ237" s="417" t="str">
        <f t="shared" si="75"/>
        <v>NA</v>
      </c>
      <c r="AK237" s="524" t="str">
        <f>IFERROR(INDEX('Legacy Resident Reference'!R:R,MATCH('Unit Summary - Rent Roll'!AJ237,'Legacy Resident Reference'!P:P,0)),"NA")</f>
        <v>NA</v>
      </c>
    </row>
    <row r="238" spans="2:37" ht="13.8" hidden="1" outlineLevel="1" x14ac:dyDescent="0.3">
      <c r="B238" s="236">
        <v>212</v>
      </c>
      <c r="C238" s="580" t="s">
        <v>143</v>
      </c>
      <c r="D238" s="581"/>
      <c r="E238" s="186" t="s">
        <v>139</v>
      </c>
      <c r="F238" s="187">
        <v>0</v>
      </c>
      <c r="G238" s="239" t="s">
        <v>85</v>
      </c>
      <c r="H238" s="243">
        <v>0</v>
      </c>
      <c r="I238" s="373">
        <f t="shared" si="64"/>
        <v>0</v>
      </c>
      <c r="J238" s="250" t="s">
        <v>139</v>
      </c>
      <c r="K238" s="508" t="s">
        <v>139</v>
      </c>
      <c r="L238" s="399" t="s">
        <v>139</v>
      </c>
      <c r="M238" s="403">
        <v>0</v>
      </c>
      <c r="N238" s="282" t="s">
        <v>139</v>
      </c>
      <c r="O238" s="302" t="str">
        <f>IF(OR(M238=0,N238="NA"),"NA",IFERROR(INDEX('Data - Reference'!$B$37:$B$50,MATCH('Unit Summary - Rent Roll'!$M238,INDEX('Data - Reference'!$B$37:$J$50,,MATCH('Unit Summary - Rent Roll'!$N238,'Data - Reference'!$B$37:$J$37,0)),-1),1),"NA"))</f>
        <v>NA</v>
      </c>
      <c r="P238" s="239" t="s">
        <v>85</v>
      </c>
      <c r="Q238" s="239" t="s">
        <v>85</v>
      </c>
      <c r="R238" s="188">
        <v>0</v>
      </c>
      <c r="S238" s="364">
        <f t="shared" si="65"/>
        <v>0</v>
      </c>
      <c r="T238" s="97">
        <f t="shared" si="66"/>
        <v>0</v>
      </c>
      <c r="U238" s="188">
        <v>0</v>
      </c>
      <c r="V238" s="364">
        <f t="shared" si="67"/>
        <v>0</v>
      </c>
      <c r="W238" s="97">
        <f t="shared" si="68"/>
        <v>0</v>
      </c>
      <c r="X238" s="71">
        <f>IFERROR(IF(INDEX(AC$14:AC$18,MATCH($E238,$AB$14:$AB$18,0))&lt;&gt;0,INDEX(AC$14:AC$18,MATCH($E238,$AB$14:$AB$18,0)),
IF($M238="Market",0,IF($L238="HUD FMR",INDEX('Data - Reference'!$B$31:$G$31,MATCH($E238,'Data - Reference'!$B$9:$G$9,0)),INDEX('Data - Reference'!$B$9:$G$31,MATCH($K238,'Data - Reference'!$B$9:$B$31,0),MATCH($E238,'Data - Reference'!$B$9:$G$9,0))))),0)</f>
        <v>0</v>
      </c>
      <c r="Y238" s="71">
        <f>IFERROR(IF(INDEX(AD$14:AD$18,MATCH($E238,$AB$14:$AB$18,0))&lt;&gt;0,INDEX(AD$14:AD$18,MATCH($E238,$AB$14:$AB$18,0)),
IF($K238="None - Market",0,-INDEX('Data - Reference'!$B$32:$G$32,MATCH($E238,'Data - Reference'!$B$9:$G$9,0)))),0)</f>
        <v>0</v>
      </c>
      <c r="Z238" s="74">
        <f t="shared" si="62"/>
        <v>0</v>
      </c>
      <c r="AA238" s="67">
        <f t="shared" si="69"/>
        <v>0</v>
      </c>
      <c r="AB238" s="97">
        <f t="shared" si="70"/>
        <v>0</v>
      </c>
      <c r="AC238" s="82">
        <f t="shared" si="5"/>
        <v>0</v>
      </c>
      <c r="AD238" s="83">
        <f t="shared" si="71"/>
        <v>0</v>
      </c>
      <c r="AE238" s="97">
        <f t="shared" si="72"/>
        <v>0</v>
      </c>
      <c r="AF238" s="415" t="str">
        <f t="shared" si="63"/>
        <v>NA</v>
      </c>
      <c r="AG238" s="420" t="str">
        <f t="shared" si="73"/>
        <v>NA</v>
      </c>
      <c r="AH238" s="420" t="str">
        <f t="shared" si="74"/>
        <v>NA</v>
      </c>
      <c r="AI238" s="417" t="str">
        <f t="shared" si="4"/>
        <v>NA</v>
      </c>
      <c r="AJ238" s="417" t="str">
        <f t="shared" si="75"/>
        <v>NA</v>
      </c>
      <c r="AK238" s="524" t="str">
        <f>IFERROR(INDEX('Legacy Resident Reference'!R:R,MATCH('Unit Summary - Rent Roll'!AJ238,'Legacy Resident Reference'!P:P,0)),"NA")</f>
        <v>NA</v>
      </c>
    </row>
    <row r="239" spans="2:37" ht="13.8" hidden="1" outlineLevel="1" x14ac:dyDescent="0.3">
      <c r="B239" s="236">
        <v>213</v>
      </c>
      <c r="C239" s="580" t="s">
        <v>143</v>
      </c>
      <c r="D239" s="581"/>
      <c r="E239" s="186" t="s">
        <v>139</v>
      </c>
      <c r="F239" s="187">
        <v>0</v>
      </c>
      <c r="G239" s="239" t="s">
        <v>85</v>
      </c>
      <c r="H239" s="243">
        <v>0</v>
      </c>
      <c r="I239" s="373">
        <f t="shared" si="64"/>
        <v>0</v>
      </c>
      <c r="J239" s="250" t="s">
        <v>139</v>
      </c>
      <c r="K239" s="508" t="s">
        <v>139</v>
      </c>
      <c r="L239" s="399" t="s">
        <v>139</v>
      </c>
      <c r="M239" s="403">
        <v>0</v>
      </c>
      <c r="N239" s="282" t="s">
        <v>139</v>
      </c>
      <c r="O239" s="302" t="str">
        <f>IF(OR(M239=0,N239="NA"),"NA",IFERROR(INDEX('Data - Reference'!$B$37:$B$50,MATCH('Unit Summary - Rent Roll'!$M239,INDEX('Data - Reference'!$B$37:$J$50,,MATCH('Unit Summary - Rent Roll'!$N239,'Data - Reference'!$B$37:$J$37,0)),-1),1),"NA"))</f>
        <v>NA</v>
      </c>
      <c r="P239" s="239" t="s">
        <v>85</v>
      </c>
      <c r="Q239" s="239" t="s">
        <v>85</v>
      </c>
      <c r="R239" s="188">
        <v>0</v>
      </c>
      <c r="S239" s="364">
        <f t="shared" si="65"/>
        <v>0</v>
      </c>
      <c r="T239" s="97">
        <f t="shared" si="66"/>
        <v>0</v>
      </c>
      <c r="U239" s="188">
        <v>0</v>
      </c>
      <c r="V239" s="364">
        <f t="shared" si="67"/>
        <v>0</v>
      </c>
      <c r="W239" s="97">
        <f t="shared" si="68"/>
        <v>0</v>
      </c>
      <c r="X239" s="71">
        <f>IFERROR(IF(INDEX(AC$14:AC$18,MATCH($E239,$AB$14:$AB$18,0))&lt;&gt;0,INDEX(AC$14:AC$18,MATCH($E239,$AB$14:$AB$18,0)),
IF($M239="Market",0,IF($L239="HUD FMR",INDEX('Data - Reference'!$B$31:$G$31,MATCH($E239,'Data - Reference'!$B$9:$G$9,0)),INDEX('Data - Reference'!$B$9:$G$31,MATCH($K239,'Data - Reference'!$B$9:$B$31,0),MATCH($E239,'Data - Reference'!$B$9:$G$9,0))))),0)</f>
        <v>0</v>
      </c>
      <c r="Y239" s="71">
        <f>IFERROR(IF(INDEX(AD$14:AD$18,MATCH($E239,$AB$14:$AB$18,0))&lt;&gt;0,INDEX(AD$14:AD$18,MATCH($E239,$AB$14:$AB$18,0)),
IF($K239="None - Market",0,-INDEX('Data - Reference'!$B$32:$G$32,MATCH($E239,'Data - Reference'!$B$9:$G$9,0)))),0)</f>
        <v>0</v>
      </c>
      <c r="Z239" s="74">
        <f t="shared" si="62"/>
        <v>0</v>
      </c>
      <c r="AA239" s="67">
        <f t="shared" si="69"/>
        <v>0</v>
      </c>
      <c r="AB239" s="97">
        <f t="shared" si="70"/>
        <v>0</v>
      </c>
      <c r="AC239" s="82">
        <f t="shared" si="5"/>
        <v>0</v>
      </c>
      <c r="AD239" s="83">
        <f t="shared" si="71"/>
        <v>0</v>
      </c>
      <c r="AE239" s="97">
        <f t="shared" si="72"/>
        <v>0</v>
      </c>
      <c r="AF239" s="415" t="str">
        <f t="shared" si="63"/>
        <v>NA</v>
      </c>
      <c r="AG239" s="420" t="str">
        <f t="shared" si="73"/>
        <v>NA</v>
      </c>
      <c r="AH239" s="420" t="str">
        <f t="shared" si="74"/>
        <v>NA</v>
      </c>
      <c r="AI239" s="417" t="str">
        <f t="shared" si="4"/>
        <v>NA</v>
      </c>
      <c r="AJ239" s="417" t="str">
        <f t="shared" si="75"/>
        <v>NA</v>
      </c>
      <c r="AK239" s="524" t="str">
        <f>IFERROR(INDEX('Legacy Resident Reference'!R:R,MATCH('Unit Summary - Rent Roll'!AJ239,'Legacy Resident Reference'!P:P,0)),"NA")</f>
        <v>NA</v>
      </c>
    </row>
    <row r="240" spans="2:37" ht="13.8" hidden="1" outlineLevel="1" x14ac:dyDescent="0.3">
      <c r="B240" s="236">
        <v>214</v>
      </c>
      <c r="C240" s="580" t="s">
        <v>143</v>
      </c>
      <c r="D240" s="581"/>
      <c r="E240" s="186" t="s">
        <v>139</v>
      </c>
      <c r="F240" s="187">
        <v>0</v>
      </c>
      <c r="G240" s="239" t="s">
        <v>85</v>
      </c>
      <c r="H240" s="243">
        <v>0</v>
      </c>
      <c r="I240" s="373">
        <f t="shared" si="64"/>
        <v>0</v>
      </c>
      <c r="J240" s="250" t="s">
        <v>139</v>
      </c>
      <c r="K240" s="508" t="s">
        <v>139</v>
      </c>
      <c r="L240" s="399" t="s">
        <v>139</v>
      </c>
      <c r="M240" s="403">
        <v>0</v>
      </c>
      <c r="N240" s="282" t="s">
        <v>139</v>
      </c>
      <c r="O240" s="302" t="str">
        <f>IF(OR(M240=0,N240="NA"),"NA",IFERROR(INDEX('Data - Reference'!$B$37:$B$50,MATCH('Unit Summary - Rent Roll'!$M240,INDEX('Data - Reference'!$B$37:$J$50,,MATCH('Unit Summary - Rent Roll'!$N240,'Data - Reference'!$B$37:$J$37,0)),-1),1),"NA"))</f>
        <v>NA</v>
      </c>
      <c r="P240" s="239" t="s">
        <v>85</v>
      </c>
      <c r="Q240" s="239" t="s">
        <v>85</v>
      </c>
      <c r="R240" s="188">
        <v>0</v>
      </c>
      <c r="S240" s="364">
        <f t="shared" si="65"/>
        <v>0</v>
      </c>
      <c r="T240" s="97">
        <f t="shared" si="66"/>
        <v>0</v>
      </c>
      <c r="U240" s="188">
        <v>0</v>
      </c>
      <c r="V240" s="364">
        <f t="shared" si="67"/>
        <v>0</v>
      </c>
      <c r="W240" s="97">
        <f t="shared" si="68"/>
        <v>0</v>
      </c>
      <c r="X240" s="71">
        <f>IFERROR(IF(INDEX(AC$14:AC$18,MATCH($E240,$AB$14:$AB$18,0))&lt;&gt;0,INDEX(AC$14:AC$18,MATCH($E240,$AB$14:$AB$18,0)),
IF($M240="Market",0,IF($L240="HUD FMR",INDEX('Data - Reference'!$B$31:$G$31,MATCH($E240,'Data - Reference'!$B$9:$G$9,0)),INDEX('Data - Reference'!$B$9:$G$31,MATCH($K240,'Data - Reference'!$B$9:$B$31,0),MATCH($E240,'Data - Reference'!$B$9:$G$9,0))))),0)</f>
        <v>0</v>
      </c>
      <c r="Y240" s="71">
        <f>IFERROR(IF(INDEX(AD$14:AD$18,MATCH($E240,$AB$14:$AB$18,0))&lt;&gt;0,INDEX(AD$14:AD$18,MATCH($E240,$AB$14:$AB$18,0)),
IF($K240="None - Market",0,-INDEX('Data - Reference'!$B$32:$G$32,MATCH($E240,'Data - Reference'!$B$9:$G$9,0)))),0)</f>
        <v>0</v>
      </c>
      <c r="Z240" s="74">
        <f t="shared" si="62"/>
        <v>0</v>
      </c>
      <c r="AA240" s="67">
        <f t="shared" si="69"/>
        <v>0</v>
      </c>
      <c r="AB240" s="97">
        <f t="shared" si="70"/>
        <v>0</v>
      </c>
      <c r="AC240" s="82">
        <f t="shared" si="5"/>
        <v>0</v>
      </c>
      <c r="AD240" s="83">
        <f t="shared" si="71"/>
        <v>0</v>
      </c>
      <c r="AE240" s="97">
        <f t="shared" si="72"/>
        <v>0</v>
      </c>
      <c r="AF240" s="415" t="str">
        <f t="shared" si="63"/>
        <v>NA</v>
      </c>
      <c r="AG240" s="420" t="str">
        <f t="shared" si="73"/>
        <v>NA</v>
      </c>
      <c r="AH240" s="420" t="str">
        <f t="shared" si="74"/>
        <v>NA</v>
      </c>
      <c r="AI240" s="417" t="str">
        <f t="shared" si="4"/>
        <v>NA</v>
      </c>
      <c r="AJ240" s="417" t="str">
        <f t="shared" si="75"/>
        <v>NA</v>
      </c>
      <c r="AK240" s="524" t="str">
        <f>IFERROR(INDEX('Legacy Resident Reference'!R:R,MATCH('Unit Summary - Rent Roll'!AJ240,'Legacy Resident Reference'!P:P,0)),"NA")</f>
        <v>NA</v>
      </c>
    </row>
    <row r="241" spans="2:37" ht="13.8" hidden="1" outlineLevel="1" x14ac:dyDescent="0.3">
      <c r="B241" s="236">
        <v>215</v>
      </c>
      <c r="C241" s="580" t="s">
        <v>143</v>
      </c>
      <c r="D241" s="581"/>
      <c r="E241" s="186" t="s">
        <v>139</v>
      </c>
      <c r="F241" s="187">
        <v>0</v>
      </c>
      <c r="G241" s="239" t="s">
        <v>85</v>
      </c>
      <c r="H241" s="243">
        <v>0</v>
      </c>
      <c r="I241" s="373">
        <f t="shared" si="64"/>
        <v>0</v>
      </c>
      <c r="J241" s="250" t="s">
        <v>139</v>
      </c>
      <c r="K241" s="508" t="s">
        <v>139</v>
      </c>
      <c r="L241" s="399" t="s">
        <v>139</v>
      </c>
      <c r="M241" s="403">
        <v>0</v>
      </c>
      <c r="N241" s="282" t="s">
        <v>139</v>
      </c>
      <c r="O241" s="302" t="str">
        <f>IF(OR(M241=0,N241="NA"),"NA",IFERROR(INDEX('Data - Reference'!$B$37:$B$50,MATCH('Unit Summary - Rent Roll'!$M241,INDEX('Data - Reference'!$B$37:$J$50,,MATCH('Unit Summary - Rent Roll'!$N241,'Data - Reference'!$B$37:$J$37,0)),-1),1),"NA"))</f>
        <v>NA</v>
      </c>
      <c r="P241" s="239" t="s">
        <v>85</v>
      </c>
      <c r="Q241" s="239" t="s">
        <v>85</v>
      </c>
      <c r="R241" s="188">
        <v>0</v>
      </c>
      <c r="S241" s="364">
        <f t="shared" si="65"/>
        <v>0</v>
      </c>
      <c r="T241" s="97">
        <f t="shared" si="66"/>
        <v>0</v>
      </c>
      <c r="U241" s="188">
        <v>0</v>
      </c>
      <c r="V241" s="364">
        <f t="shared" si="67"/>
        <v>0</v>
      </c>
      <c r="W241" s="97">
        <f t="shared" si="68"/>
        <v>0</v>
      </c>
      <c r="X241" s="71">
        <f>IFERROR(IF(INDEX(AC$14:AC$18,MATCH($E241,$AB$14:$AB$18,0))&lt;&gt;0,INDEX(AC$14:AC$18,MATCH($E241,$AB$14:$AB$18,0)),
IF($M241="Market",0,IF($L241="HUD FMR",INDEX('Data - Reference'!$B$31:$G$31,MATCH($E241,'Data - Reference'!$B$9:$G$9,0)),INDEX('Data - Reference'!$B$9:$G$31,MATCH($K241,'Data - Reference'!$B$9:$B$31,0),MATCH($E241,'Data - Reference'!$B$9:$G$9,0))))),0)</f>
        <v>0</v>
      </c>
      <c r="Y241" s="71">
        <f>IFERROR(IF(INDEX(AD$14:AD$18,MATCH($E241,$AB$14:$AB$18,0))&lt;&gt;0,INDEX(AD$14:AD$18,MATCH($E241,$AB$14:$AB$18,0)),
IF($K241="None - Market",0,-INDEX('Data - Reference'!$B$32:$G$32,MATCH($E241,'Data - Reference'!$B$9:$G$9,0)))),0)</f>
        <v>0</v>
      </c>
      <c r="Z241" s="74">
        <f t="shared" si="62"/>
        <v>0</v>
      </c>
      <c r="AA241" s="67">
        <f t="shared" si="69"/>
        <v>0</v>
      </c>
      <c r="AB241" s="97">
        <f t="shared" si="70"/>
        <v>0</v>
      </c>
      <c r="AC241" s="82">
        <f t="shared" si="5"/>
        <v>0</v>
      </c>
      <c r="AD241" s="83">
        <f t="shared" si="71"/>
        <v>0</v>
      </c>
      <c r="AE241" s="97">
        <f t="shared" si="72"/>
        <v>0</v>
      </c>
      <c r="AF241" s="415" t="str">
        <f t="shared" si="63"/>
        <v>NA</v>
      </c>
      <c r="AG241" s="420" t="str">
        <f t="shared" si="73"/>
        <v>NA</v>
      </c>
      <c r="AH241" s="420" t="str">
        <f t="shared" si="74"/>
        <v>NA</v>
      </c>
      <c r="AI241" s="417" t="str">
        <f t="shared" si="4"/>
        <v>NA</v>
      </c>
      <c r="AJ241" s="417" t="str">
        <f t="shared" si="75"/>
        <v>NA</v>
      </c>
      <c r="AK241" s="524" t="str">
        <f>IFERROR(INDEX('Legacy Resident Reference'!R:R,MATCH('Unit Summary - Rent Roll'!AJ241,'Legacy Resident Reference'!P:P,0)),"NA")</f>
        <v>NA</v>
      </c>
    </row>
    <row r="242" spans="2:37" ht="13.8" hidden="1" outlineLevel="1" x14ac:dyDescent="0.3">
      <c r="B242" s="236">
        <v>216</v>
      </c>
      <c r="C242" s="580" t="s">
        <v>143</v>
      </c>
      <c r="D242" s="581"/>
      <c r="E242" s="186" t="s">
        <v>139</v>
      </c>
      <c r="F242" s="187">
        <v>0</v>
      </c>
      <c r="G242" s="239" t="s">
        <v>85</v>
      </c>
      <c r="H242" s="243">
        <v>0</v>
      </c>
      <c r="I242" s="373">
        <f t="shared" si="64"/>
        <v>0</v>
      </c>
      <c r="J242" s="250" t="s">
        <v>139</v>
      </c>
      <c r="K242" s="508" t="s">
        <v>139</v>
      </c>
      <c r="L242" s="399" t="s">
        <v>139</v>
      </c>
      <c r="M242" s="403">
        <v>0</v>
      </c>
      <c r="N242" s="282" t="s">
        <v>139</v>
      </c>
      <c r="O242" s="302" t="str">
        <f>IF(OR(M242=0,N242="NA"),"NA",IFERROR(INDEX('Data - Reference'!$B$37:$B$50,MATCH('Unit Summary - Rent Roll'!$M242,INDEX('Data - Reference'!$B$37:$J$50,,MATCH('Unit Summary - Rent Roll'!$N242,'Data - Reference'!$B$37:$J$37,0)),-1),1),"NA"))</f>
        <v>NA</v>
      </c>
      <c r="P242" s="239" t="s">
        <v>85</v>
      </c>
      <c r="Q242" s="239" t="s">
        <v>85</v>
      </c>
      <c r="R242" s="188">
        <v>0</v>
      </c>
      <c r="S242" s="364">
        <f t="shared" si="65"/>
        <v>0</v>
      </c>
      <c r="T242" s="97">
        <f t="shared" si="66"/>
        <v>0</v>
      </c>
      <c r="U242" s="188">
        <v>0</v>
      </c>
      <c r="V242" s="364">
        <f t="shared" si="67"/>
        <v>0</v>
      </c>
      <c r="W242" s="97">
        <f t="shared" si="68"/>
        <v>0</v>
      </c>
      <c r="X242" s="71">
        <f>IFERROR(IF(INDEX(AC$14:AC$18,MATCH($E242,$AB$14:$AB$18,0))&lt;&gt;0,INDEX(AC$14:AC$18,MATCH($E242,$AB$14:$AB$18,0)),
IF($M242="Market",0,IF($L242="HUD FMR",INDEX('Data - Reference'!$B$31:$G$31,MATCH($E242,'Data - Reference'!$B$9:$G$9,0)),INDEX('Data - Reference'!$B$9:$G$31,MATCH($K242,'Data - Reference'!$B$9:$B$31,0),MATCH($E242,'Data - Reference'!$B$9:$G$9,0))))),0)</f>
        <v>0</v>
      </c>
      <c r="Y242" s="71">
        <f>IFERROR(IF(INDEX(AD$14:AD$18,MATCH($E242,$AB$14:$AB$18,0))&lt;&gt;0,INDEX(AD$14:AD$18,MATCH($E242,$AB$14:$AB$18,0)),
IF($K242="None - Market",0,-INDEX('Data - Reference'!$B$32:$G$32,MATCH($E242,'Data - Reference'!$B$9:$G$9,0)))),0)</f>
        <v>0</v>
      </c>
      <c r="Z242" s="74">
        <f t="shared" si="62"/>
        <v>0</v>
      </c>
      <c r="AA242" s="67">
        <f t="shared" si="69"/>
        <v>0</v>
      </c>
      <c r="AB242" s="97">
        <f t="shared" si="70"/>
        <v>0</v>
      </c>
      <c r="AC242" s="82">
        <f t="shared" si="5"/>
        <v>0</v>
      </c>
      <c r="AD242" s="83">
        <f t="shared" si="71"/>
        <v>0</v>
      </c>
      <c r="AE242" s="97">
        <f t="shared" si="72"/>
        <v>0</v>
      </c>
      <c r="AF242" s="415" t="str">
        <f t="shared" si="63"/>
        <v>NA</v>
      </c>
      <c r="AG242" s="420" t="str">
        <f t="shared" si="73"/>
        <v>NA</v>
      </c>
      <c r="AH242" s="420" t="str">
        <f t="shared" si="74"/>
        <v>NA</v>
      </c>
      <c r="AI242" s="417" t="str">
        <f t="shared" si="4"/>
        <v>NA</v>
      </c>
      <c r="AJ242" s="417" t="str">
        <f t="shared" si="75"/>
        <v>NA</v>
      </c>
      <c r="AK242" s="524" t="str">
        <f>IFERROR(INDEX('Legacy Resident Reference'!R:R,MATCH('Unit Summary - Rent Roll'!AJ242,'Legacy Resident Reference'!P:P,0)),"NA")</f>
        <v>NA</v>
      </c>
    </row>
    <row r="243" spans="2:37" ht="13.8" hidden="1" outlineLevel="1" x14ac:dyDescent="0.3">
      <c r="B243" s="236">
        <v>217</v>
      </c>
      <c r="C243" s="580" t="s">
        <v>143</v>
      </c>
      <c r="D243" s="581"/>
      <c r="E243" s="186" t="s">
        <v>139</v>
      </c>
      <c r="F243" s="187">
        <v>0</v>
      </c>
      <c r="G243" s="239" t="s">
        <v>85</v>
      </c>
      <c r="H243" s="243">
        <v>0</v>
      </c>
      <c r="I243" s="373">
        <f t="shared" si="64"/>
        <v>0</v>
      </c>
      <c r="J243" s="250" t="s">
        <v>139</v>
      </c>
      <c r="K243" s="508" t="s">
        <v>139</v>
      </c>
      <c r="L243" s="399" t="s">
        <v>139</v>
      </c>
      <c r="M243" s="403">
        <v>0</v>
      </c>
      <c r="N243" s="282" t="s">
        <v>139</v>
      </c>
      <c r="O243" s="302" t="str">
        <f>IF(OR(M243=0,N243="NA"),"NA",IFERROR(INDEX('Data - Reference'!$B$37:$B$50,MATCH('Unit Summary - Rent Roll'!$M243,INDEX('Data - Reference'!$B$37:$J$50,,MATCH('Unit Summary - Rent Roll'!$N243,'Data - Reference'!$B$37:$J$37,0)),-1),1),"NA"))</f>
        <v>NA</v>
      </c>
      <c r="P243" s="239" t="s">
        <v>85</v>
      </c>
      <c r="Q243" s="239" t="s">
        <v>85</v>
      </c>
      <c r="R243" s="188">
        <v>0</v>
      </c>
      <c r="S243" s="364">
        <f t="shared" si="65"/>
        <v>0</v>
      </c>
      <c r="T243" s="97">
        <f t="shared" si="66"/>
        <v>0</v>
      </c>
      <c r="U243" s="188">
        <v>0</v>
      </c>
      <c r="V243" s="364">
        <f t="shared" si="67"/>
        <v>0</v>
      </c>
      <c r="W243" s="97">
        <f t="shared" si="68"/>
        <v>0</v>
      </c>
      <c r="X243" s="71">
        <f>IFERROR(IF(INDEX(AC$14:AC$18,MATCH($E243,$AB$14:$AB$18,0))&lt;&gt;0,INDEX(AC$14:AC$18,MATCH($E243,$AB$14:$AB$18,0)),
IF($M243="Market",0,IF($L243="HUD FMR",INDEX('Data - Reference'!$B$31:$G$31,MATCH($E243,'Data - Reference'!$B$9:$G$9,0)),INDEX('Data - Reference'!$B$9:$G$31,MATCH($K243,'Data - Reference'!$B$9:$B$31,0),MATCH($E243,'Data - Reference'!$B$9:$G$9,0))))),0)</f>
        <v>0</v>
      </c>
      <c r="Y243" s="71">
        <f>IFERROR(IF(INDEX(AD$14:AD$18,MATCH($E243,$AB$14:$AB$18,0))&lt;&gt;0,INDEX(AD$14:AD$18,MATCH($E243,$AB$14:$AB$18,0)),
IF($K243="None - Market",0,-INDEX('Data - Reference'!$B$32:$G$32,MATCH($E243,'Data - Reference'!$B$9:$G$9,0)))),0)</f>
        <v>0</v>
      </c>
      <c r="Z243" s="74">
        <f t="shared" si="62"/>
        <v>0</v>
      </c>
      <c r="AA243" s="67">
        <f t="shared" si="69"/>
        <v>0</v>
      </c>
      <c r="AB243" s="97">
        <f t="shared" si="70"/>
        <v>0</v>
      </c>
      <c r="AC243" s="82">
        <f t="shared" si="5"/>
        <v>0</v>
      </c>
      <c r="AD243" s="83">
        <f t="shared" si="71"/>
        <v>0</v>
      </c>
      <c r="AE243" s="97">
        <f t="shared" si="72"/>
        <v>0</v>
      </c>
      <c r="AF243" s="415" t="str">
        <f t="shared" si="63"/>
        <v>NA</v>
      </c>
      <c r="AG243" s="420" t="str">
        <f t="shared" si="73"/>
        <v>NA</v>
      </c>
      <c r="AH243" s="420" t="str">
        <f t="shared" si="74"/>
        <v>NA</v>
      </c>
      <c r="AI243" s="417" t="str">
        <f t="shared" si="4"/>
        <v>NA</v>
      </c>
      <c r="AJ243" s="417" t="str">
        <f t="shared" si="75"/>
        <v>NA</v>
      </c>
      <c r="AK243" s="524" t="str">
        <f>IFERROR(INDEX('Legacy Resident Reference'!R:R,MATCH('Unit Summary - Rent Roll'!AJ243,'Legacy Resident Reference'!P:P,0)),"NA")</f>
        <v>NA</v>
      </c>
    </row>
    <row r="244" spans="2:37" ht="13.8" hidden="1" outlineLevel="1" x14ac:dyDescent="0.3">
      <c r="B244" s="236">
        <v>218</v>
      </c>
      <c r="C244" s="580" t="s">
        <v>143</v>
      </c>
      <c r="D244" s="581"/>
      <c r="E244" s="186" t="s">
        <v>139</v>
      </c>
      <c r="F244" s="187">
        <v>0</v>
      </c>
      <c r="G244" s="239" t="s">
        <v>85</v>
      </c>
      <c r="H244" s="243">
        <v>0</v>
      </c>
      <c r="I244" s="373">
        <f t="shared" si="64"/>
        <v>0</v>
      </c>
      <c r="J244" s="250" t="s">
        <v>139</v>
      </c>
      <c r="K244" s="508" t="s">
        <v>139</v>
      </c>
      <c r="L244" s="399" t="s">
        <v>139</v>
      </c>
      <c r="M244" s="403">
        <v>0</v>
      </c>
      <c r="N244" s="282" t="s">
        <v>139</v>
      </c>
      <c r="O244" s="302" t="str">
        <f>IF(OR(M244=0,N244="NA"),"NA",IFERROR(INDEX('Data - Reference'!$B$37:$B$50,MATCH('Unit Summary - Rent Roll'!$M244,INDEX('Data - Reference'!$B$37:$J$50,,MATCH('Unit Summary - Rent Roll'!$N244,'Data - Reference'!$B$37:$J$37,0)),-1),1),"NA"))</f>
        <v>NA</v>
      </c>
      <c r="P244" s="239" t="s">
        <v>85</v>
      </c>
      <c r="Q244" s="239" t="s">
        <v>85</v>
      </c>
      <c r="R244" s="188">
        <v>0</v>
      </c>
      <c r="S244" s="364">
        <f t="shared" si="65"/>
        <v>0</v>
      </c>
      <c r="T244" s="97">
        <f t="shared" si="66"/>
        <v>0</v>
      </c>
      <c r="U244" s="188">
        <v>0</v>
      </c>
      <c r="V244" s="364">
        <f t="shared" si="67"/>
        <v>0</v>
      </c>
      <c r="W244" s="97">
        <f t="shared" si="68"/>
        <v>0</v>
      </c>
      <c r="X244" s="71">
        <f>IFERROR(IF(INDEX(AC$14:AC$18,MATCH($E244,$AB$14:$AB$18,0))&lt;&gt;0,INDEX(AC$14:AC$18,MATCH($E244,$AB$14:$AB$18,0)),
IF($M244="Market",0,IF($L244="HUD FMR",INDEX('Data - Reference'!$B$31:$G$31,MATCH($E244,'Data - Reference'!$B$9:$G$9,0)),INDEX('Data - Reference'!$B$9:$G$31,MATCH($K244,'Data - Reference'!$B$9:$B$31,0),MATCH($E244,'Data - Reference'!$B$9:$G$9,0))))),0)</f>
        <v>0</v>
      </c>
      <c r="Y244" s="71">
        <f>IFERROR(IF(INDEX(AD$14:AD$18,MATCH($E244,$AB$14:$AB$18,0))&lt;&gt;0,INDEX(AD$14:AD$18,MATCH($E244,$AB$14:$AB$18,0)),
IF($K244="None - Market",0,-INDEX('Data - Reference'!$B$32:$G$32,MATCH($E244,'Data - Reference'!$B$9:$G$9,0)))),0)</f>
        <v>0</v>
      </c>
      <c r="Z244" s="74">
        <f t="shared" si="62"/>
        <v>0</v>
      </c>
      <c r="AA244" s="67">
        <f t="shared" si="69"/>
        <v>0</v>
      </c>
      <c r="AB244" s="97">
        <f t="shared" si="70"/>
        <v>0</v>
      </c>
      <c r="AC244" s="82">
        <f t="shared" si="5"/>
        <v>0</v>
      </c>
      <c r="AD244" s="83">
        <f t="shared" si="71"/>
        <v>0</v>
      </c>
      <c r="AE244" s="97">
        <f t="shared" si="72"/>
        <v>0</v>
      </c>
      <c r="AF244" s="415" t="str">
        <f t="shared" si="63"/>
        <v>NA</v>
      </c>
      <c r="AG244" s="420" t="str">
        <f t="shared" si="73"/>
        <v>NA</v>
      </c>
      <c r="AH244" s="420" t="str">
        <f t="shared" si="74"/>
        <v>NA</v>
      </c>
      <c r="AI244" s="417" t="str">
        <f t="shared" si="4"/>
        <v>NA</v>
      </c>
      <c r="AJ244" s="417" t="str">
        <f t="shared" si="75"/>
        <v>NA</v>
      </c>
      <c r="AK244" s="524" t="str">
        <f>IFERROR(INDEX('Legacy Resident Reference'!R:R,MATCH('Unit Summary - Rent Roll'!AJ244,'Legacy Resident Reference'!P:P,0)),"NA")</f>
        <v>NA</v>
      </c>
    </row>
    <row r="245" spans="2:37" ht="13.8" hidden="1" outlineLevel="1" x14ac:dyDescent="0.3">
      <c r="B245" s="236">
        <v>219</v>
      </c>
      <c r="C245" s="580" t="s">
        <v>143</v>
      </c>
      <c r="D245" s="581"/>
      <c r="E245" s="186" t="s">
        <v>139</v>
      </c>
      <c r="F245" s="187">
        <v>0</v>
      </c>
      <c r="G245" s="239" t="s">
        <v>85</v>
      </c>
      <c r="H245" s="243">
        <v>0</v>
      </c>
      <c r="I245" s="373">
        <f t="shared" si="64"/>
        <v>0</v>
      </c>
      <c r="J245" s="250" t="s">
        <v>139</v>
      </c>
      <c r="K245" s="508" t="s">
        <v>139</v>
      </c>
      <c r="L245" s="399" t="s">
        <v>139</v>
      </c>
      <c r="M245" s="403">
        <v>0</v>
      </c>
      <c r="N245" s="282" t="s">
        <v>139</v>
      </c>
      <c r="O245" s="302" t="str">
        <f>IF(OR(M245=0,N245="NA"),"NA",IFERROR(INDEX('Data - Reference'!$B$37:$B$50,MATCH('Unit Summary - Rent Roll'!$M245,INDEX('Data - Reference'!$B$37:$J$50,,MATCH('Unit Summary - Rent Roll'!$N245,'Data - Reference'!$B$37:$J$37,0)),-1),1),"NA"))</f>
        <v>NA</v>
      </c>
      <c r="P245" s="239" t="s">
        <v>85</v>
      </c>
      <c r="Q245" s="239" t="s">
        <v>85</v>
      </c>
      <c r="R245" s="188">
        <v>0</v>
      </c>
      <c r="S245" s="364">
        <f t="shared" si="65"/>
        <v>0</v>
      </c>
      <c r="T245" s="97">
        <f t="shared" si="66"/>
        <v>0</v>
      </c>
      <c r="U245" s="188">
        <v>0</v>
      </c>
      <c r="V245" s="364">
        <f t="shared" si="67"/>
        <v>0</v>
      </c>
      <c r="W245" s="97">
        <f t="shared" si="68"/>
        <v>0</v>
      </c>
      <c r="X245" s="71">
        <f>IFERROR(IF(INDEX(AC$14:AC$18,MATCH($E245,$AB$14:$AB$18,0))&lt;&gt;0,INDEX(AC$14:AC$18,MATCH($E245,$AB$14:$AB$18,0)),
IF($M245="Market",0,IF($L245="HUD FMR",INDEX('Data - Reference'!$B$31:$G$31,MATCH($E245,'Data - Reference'!$B$9:$G$9,0)),INDEX('Data - Reference'!$B$9:$G$31,MATCH($K245,'Data - Reference'!$B$9:$B$31,0),MATCH($E245,'Data - Reference'!$B$9:$G$9,0))))),0)</f>
        <v>0</v>
      </c>
      <c r="Y245" s="71">
        <f>IFERROR(IF(INDEX(AD$14:AD$18,MATCH($E245,$AB$14:$AB$18,0))&lt;&gt;0,INDEX(AD$14:AD$18,MATCH($E245,$AB$14:$AB$18,0)),
IF($K245="None - Market",0,-INDEX('Data - Reference'!$B$32:$G$32,MATCH($E245,'Data - Reference'!$B$9:$G$9,0)))),0)</f>
        <v>0</v>
      </c>
      <c r="Z245" s="74">
        <f t="shared" si="62"/>
        <v>0</v>
      </c>
      <c r="AA245" s="67">
        <f t="shared" si="69"/>
        <v>0</v>
      </c>
      <c r="AB245" s="97">
        <f t="shared" si="70"/>
        <v>0</v>
      </c>
      <c r="AC245" s="82">
        <f t="shared" si="5"/>
        <v>0</v>
      </c>
      <c r="AD245" s="83">
        <f t="shared" si="71"/>
        <v>0</v>
      </c>
      <c r="AE245" s="97">
        <f t="shared" si="72"/>
        <v>0</v>
      </c>
      <c r="AF245" s="415" t="str">
        <f t="shared" si="63"/>
        <v>NA</v>
      </c>
      <c r="AG245" s="420" t="str">
        <f t="shared" si="73"/>
        <v>NA</v>
      </c>
      <c r="AH245" s="420" t="str">
        <f t="shared" si="74"/>
        <v>NA</v>
      </c>
      <c r="AI245" s="417" t="str">
        <f t="shared" si="4"/>
        <v>NA</v>
      </c>
      <c r="AJ245" s="417" t="str">
        <f t="shared" si="75"/>
        <v>NA</v>
      </c>
      <c r="AK245" s="524" t="str">
        <f>IFERROR(INDEX('Legacy Resident Reference'!R:R,MATCH('Unit Summary - Rent Roll'!AJ245,'Legacy Resident Reference'!P:P,0)),"NA")</f>
        <v>NA</v>
      </c>
    </row>
    <row r="246" spans="2:37" ht="13.8" hidden="1" outlineLevel="1" x14ac:dyDescent="0.3">
      <c r="B246" s="236">
        <v>220</v>
      </c>
      <c r="C246" s="580" t="s">
        <v>143</v>
      </c>
      <c r="D246" s="581"/>
      <c r="E246" s="186" t="s">
        <v>139</v>
      </c>
      <c r="F246" s="187">
        <v>0</v>
      </c>
      <c r="G246" s="239" t="s">
        <v>85</v>
      </c>
      <c r="H246" s="243">
        <v>0</v>
      </c>
      <c r="I246" s="373">
        <f t="shared" si="64"/>
        <v>0</v>
      </c>
      <c r="J246" s="250" t="s">
        <v>139</v>
      </c>
      <c r="K246" s="508" t="s">
        <v>139</v>
      </c>
      <c r="L246" s="399" t="s">
        <v>139</v>
      </c>
      <c r="M246" s="403">
        <v>0</v>
      </c>
      <c r="N246" s="282" t="s">
        <v>139</v>
      </c>
      <c r="O246" s="302" t="str">
        <f>IF(OR(M246=0,N246="NA"),"NA",IFERROR(INDEX('Data - Reference'!$B$37:$B$50,MATCH('Unit Summary - Rent Roll'!$M246,INDEX('Data - Reference'!$B$37:$J$50,,MATCH('Unit Summary - Rent Roll'!$N246,'Data - Reference'!$B$37:$J$37,0)),-1),1),"NA"))</f>
        <v>NA</v>
      </c>
      <c r="P246" s="239" t="s">
        <v>85</v>
      </c>
      <c r="Q246" s="239" t="s">
        <v>85</v>
      </c>
      <c r="R246" s="188">
        <v>0</v>
      </c>
      <c r="S246" s="364">
        <f t="shared" si="65"/>
        <v>0</v>
      </c>
      <c r="T246" s="97">
        <f t="shared" si="66"/>
        <v>0</v>
      </c>
      <c r="U246" s="188">
        <v>0</v>
      </c>
      <c r="V246" s="364">
        <f t="shared" si="67"/>
        <v>0</v>
      </c>
      <c r="W246" s="97">
        <f t="shared" si="68"/>
        <v>0</v>
      </c>
      <c r="X246" s="71">
        <f>IFERROR(IF(INDEX(AC$14:AC$18,MATCH($E246,$AB$14:$AB$18,0))&lt;&gt;0,INDEX(AC$14:AC$18,MATCH($E246,$AB$14:$AB$18,0)),
IF($M246="Market",0,IF($L246="HUD FMR",INDEX('Data - Reference'!$B$31:$G$31,MATCH($E246,'Data - Reference'!$B$9:$G$9,0)),INDEX('Data - Reference'!$B$9:$G$31,MATCH($K246,'Data - Reference'!$B$9:$B$31,0),MATCH($E246,'Data - Reference'!$B$9:$G$9,0))))),0)</f>
        <v>0</v>
      </c>
      <c r="Y246" s="71">
        <f>IFERROR(IF(INDEX(AD$14:AD$18,MATCH($E246,$AB$14:$AB$18,0))&lt;&gt;0,INDEX(AD$14:AD$18,MATCH($E246,$AB$14:$AB$18,0)),
IF($K246="None - Market",0,-INDEX('Data - Reference'!$B$32:$G$32,MATCH($E246,'Data - Reference'!$B$9:$G$9,0)))),0)</f>
        <v>0</v>
      </c>
      <c r="Z246" s="74">
        <f t="shared" si="62"/>
        <v>0</v>
      </c>
      <c r="AA246" s="67">
        <f t="shared" si="69"/>
        <v>0</v>
      </c>
      <c r="AB246" s="97">
        <f t="shared" si="70"/>
        <v>0</v>
      </c>
      <c r="AC246" s="82">
        <f t="shared" si="5"/>
        <v>0</v>
      </c>
      <c r="AD246" s="83">
        <f t="shared" si="71"/>
        <v>0</v>
      </c>
      <c r="AE246" s="97">
        <f t="shared" si="72"/>
        <v>0</v>
      </c>
      <c r="AF246" s="415" t="str">
        <f t="shared" si="63"/>
        <v>NA</v>
      </c>
      <c r="AG246" s="420" t="str">
        <f t="shared" si="73"/>
        <v>NA</v>
      </c>
      <c r="AH246" s="420" t="str">
        <f t="shared" si="74"/>
        <v>NA</v>
      </c>
      <c r="AI246" s="417" t="str">
        <f t="shared" si="4"/>
        <v>NA</v>
      </c>
      <c r="AJ246" s="417" t="str">
        <f t="shared" si="75"/>
        <v>NA</v>
      </c>
      <c r="AK246" s="524" t="str">
        <f>IFERROR(INDEX('Legacy Resident Reference'!R:R,MATCH('Unit Summary - Rent Roll'!AJ246,'Legacy Resident Reference'!P:P,0)),"NA")</f>
        <v>NA</v>
      </c>
    </row>
    <row r="247" spans="2:37" ht="13.8" hidden="1" outlineLevel="1" x14ac:dyDescent="0.3">
      <c r="B247" s="236">
        <v>221</v>
      </c>
      <c r="C247" s="580" t="s">
        <v>143</v>
      </c>
      <c r="D247" s="581"/>
      <c r="E247" s="186" t="s">
        <v>139</v>
      </c>
      <c r="F247" s="187">
        <v>0</v>
      </c>
      <c r="G247" s="239" t="s">
        <v>85</v>
      </c>
      <c r="H247" s="243">
        <v>0</v>
      </c>
      <c r="I247" s="373">
        <f t="shared" si="64"/>
        <v>0</v>
      </c>
      <c r="J247" s="250" t="s">
        <v>139</v>
      </c>
      <c r="K247" s="508" t="s">
        <v>139</v>
      </c>
      <c r="L247" s="399" t="s">
        <v>139</v>
      </c>
      <c r="M247" s="403">
        <v>0</v>
      </c>
      <c r="N247" s="282" t="s">
        <v>139</v>
      </c>
      <c r="O247" s="302" t="str">
        <f>IF(OR(M247=0,N247="NA"),"NA",IFERROR(INDEX('Data - Reference'!$B$37:$B$50,MATCH('Unit Summary - Rent Roll'!$M247,INDEX('Data - Reference'!$B$37:$J$50,,MATCH('Unit Summary - Rent Roll'!$N247,'Data - Reference'!$B$37:$J$37,0)),-1),1),"NA"))</f>
        <v>NA</v>
      </c>
      <c r="P247" s="239" t="s">
        <v>85</v>
      </c>
      <c r="Q247" s="239" t="s">
        <v>85</v>
      </c>
      <c r="R247" s="188">
        <v>0</v>
      </c>
      <c r="S247" s="364">
        <f t="shared" si="65"/>
        <v>0</v>
      </c>
      <c r="T247" s="97">
        <f t="shared" si="66"/>
        <v>0</v>
      </c>
      <c r="U247" s="188">
        <v>0</v>
      </c>
      <c r="V247" s="364">
        <f t="shared" si="67"/>
        <v>0</v>
      </c>
      <c r="W247" s="97">
        <f t="shared" si="68"/>
        <v>0</v>
      </c>
      <c r="X247" s="71">
        <f>IFERROR(IF(INDEX(AC$14:AC$18,MATCH($E247,$AB$14:$AB$18,0))&lt;&gt;0,INDEX(AC$14:AC$18,MATCH($E247,$AB$14:$AB$18,0)),
IF($M247="Market",0,IF($L247="HUD FMR",INDEX('Data - Reference'!$B$31:$G$31,MATCH($E247,'Data - Reference'!$B$9:$G$9,0)),INDEX('Data - Reference'!$B$9:$G$31,MATCH($K247,'Data - Reference'!$B$9:$B$31,0),MATCH($E247,'Data - Reference'!$B$9:$G$9,0))))),0)</f>
        <v>0</v>
      </c>
      <c r="Y247" s="71">
        <f>IFERROR(IF(INDEX(AD$14:AD$18,MATCH($E247,$AB$14:$AB$18,0))&lt;&gt;0,INDEX(AD$14:AD$18,MATCH($E247,$AB$14:$AB$18,0)),
IF($K247="None - Market",0,-INDEX('Data - Reference'!$B$32:$G$32,MATCH($E247,'Data - Reference'!$B$9:$G$9,0)))),0)</f>
        <v>0</v>
      </c>
      <c r="Z247" s="74">
        <f t="shared" si="62"/>
        <v>0</v>
      </c>
      <c r="AA247" s="67">
        <f t="shared" si="69"/>
        <v>0</v>
      </c>
      <c r="AB247" s="97">
        <f t="shared" si="70"/>
        <v>0</v>
      </c>
      <c r="AC247" s="82">
        <f t="shared" si="5"/>
        <v>0</v>
      </c>
      <c r="AD247" s="83">
        <f t="shared" si="71"/>
        <v>0</v>
      </c>
      <c r="AE247" s="97">
        <f t="shared" si="72"/>
        <v>0</v>
      </c>
      <c r="AF247" s="415" t="str">
        <f t="shared" si="63"/>
        <v>NA</v>
      </c>
      <c r="AG247" s="420" t="str">
        <f t="shared" si="73"/>
        <v>NA</v>
      </c>
      <c r="AH247" s="420" t="str">
        <f t="shared" si="74"/>
        <v>NA</v>
      </c>
      <c r="AI247" s="417" t="str">
        <f t="shared" si="4"/>
        <v>NA</v>
      </c>
      <c r="AJ247" s="417" t="str">
        <f t="shared" si="75"/>
        <v>NA</v>
      </c>
      <c r="AK247" s="524" t="str">
        <f>IFERROR(INDEX('Legacy Resident Reference'!R:R,MATCH('Unit Summary - Rent Roll'!AJ247,'Legacy Resident Reference'!P:P,0)),"NA")</f>
        <v>NA</v>
      </c>
    </row>
    <row r="248" spans="2:37" ht="13.8" hidden="1" outlineLevel="1" x14ac:dyDescent="0.3">
      <c r="B248" s="236">
        <v>222</v>
      </c>
      <c r="C248" s="580" t="s">
        <v>143</v>
      </c>
      <c r="D248" s="581"/>
      <c r="E248" s="186" t="s">
        <v>139</v>
      </c>
      <c r="F248" s="187">
        <v>0</v>
      </c>
      <c r="G248" s="239" t="s">
        <v>85</v>
      </c>
      <c r="H248" s="243">
        <v>0</v>
      </c>
      <c r="I248" s="373">
        <f t="shared" si="64"/>
        <v>0</v>
      </c>
      <c r="J248" s="250" t="s">
        <v>139</v>
      </c>
      <c r="K248" s="508" t="s">
        <v>139</v>
      </c>
      <c r="L248" s="399" t="s">
        <v>139</v>
      </c>
      <c r="M248" s="403">
        <v>0</v>
      </c>
      <c r="N248" s="282" t="s">
        <v>139</v>
      </c>
      <c r="O248" s="302" t="str">
        <f>IF(OR(M248=0,N248="NA"),"NA",IFERROR(INDEX('Data - Reference'!$B$37:$B$50,MATCH('Unit Summary - Rent Roll'!$M248,INDEX('Data - Reference'!$B$37:$J$50,,MATCH('Unit Summary - Rent Roll'!$N248,'Data - Reference'!$B$37:$J$37,0)),-1),1),"NA"))</f>
        <v>NA</v>
      </c>
      <c r="P248" s="239" t="s">
        <v>85</v>
      </c>
      <c r="Q248" s="239" t="s">
        <v>85</v>
      </c>
      <c r="R248" s="188">
        <v>0</v>
      </c>
      <c r="S248" s="364">
        <f t="shared" si="65"/>
        <v>0</v>
      </c>
      <c r="T248" s="97">
        <f t="shared" si="66"/>
        <v>0</v>
      </c>
      <c r="U248" s="188">
        <v>0</v>
      </c>
      <c r="V248" s="364">
        <f t="shared" si="67"/>
        <v>0</v>
      </c>
      <c r="W248" s="97">
        <f t="shared" si="68"/>
        <v>0</v>
      </c>
      <c r="X248" s="71">
        <f>IFERROR(IF(INDEX(AC$14:AC$18,MATCH($E248,$AB$14:$AB$18,0))&lt;&gt;0,INDEX(AC$14:AC$18,MATCH($E248,$AB$14:$AB$18,0)),
IF($M248="Market",0,IF($L248="HUD FMR",INDEX('Data - Reference'!$B$31:$G$31,MATCH($E248,'Data - Reference'!$B$9:$G$9,0)),INDEX('Data - Reference'!$B$9:$G$31,MATCH($K248,'Data - Reference'!$B$9:$B$31,0),MATCH($E248,'Data - Reference'!$B$9:$G$9,0))))),0)</f>
        <v>0</v>
      </c>
      <c r="Y248" s="71">
        <f>IFERROR(IF(INDEX(AD$14:AD$18,MATCH($E248,$AB$14:$AB$18,0))&lt;&gt;0,INDEX(AD$14:AD$18,MATCH($E248,$AB$14:$AB$18,0)),
IF($K248="None - Market",0,-INDEX('Data - Reference'!$B$32:$G$32,MATCH($E248,'Data - Reference'!$B$9:$G$9,0)))),0)</f>
        <v>0</v>
      </c>
      <c r="Z248" s="74">
        <f t="shared" si="62"/>
        <v>0</v>
      </c>
      <c r="AA248" s="67">
        <f t="shared" si="69"/>
        <v>0</v>
      </c>
      <c r="AB248" s="97">
        <f t="shared" si="70"/>
        <v>0</v>
      </c>
      <c r="AC248" s="82">
        <f t="shared" si="5"/>
        <v>0</v>
      </c>
      <c r="AD248" s="83">
        <f t="shared" si="71"/>
        <v>0</v>
      </c>
      <c r="AE248" s="97">
        <f t="shared" si="72"/>
        <v>0</v>
      </c>
      <c r="AF248" s="415" t="str">
        <f t="shared" si="63"/>
        <v>NA</v>
      </c>
      <c r="AG248" s="420" t="str">
        <f t="shared" si="73"/>
        <v>NA</v>
      </c>
      <c r="AH248" s="420" t="str">
        <f t="shared" si="74"/>
        <v>NA</v>
      </c>
      <c r="AI248" s="417" t="str">
        <f t="shared" si="4"/>
        <v>NA</v>
      </c>
      <c r="AJ248" s="417" t="str">
        <f t="shared" si="75"/>
        <v>NA</v>
      </c>
      <c r="AK248" s="524" t="str">
        <f>IFERROR(INDEX('Legacy Resident Reference'!R:R,MATCH('Unit Summary - Rent Roll'!AJ248,'Legacy Resident Reference'!P:P,0)),"NA")</f>
        <v>NA</v>
      </c>
    </row>
    <row r="249" spans="2:37" ht="13.8" hidden="1" outlineLevel="1" x14ac:dyDescent="0.3">
      <c r="B249" s="236">
        <v>223</v>
      </c>
      <c r="C249" s="580" t="s">
        <v>143</v>
      </c>
      <c r="D249" s="581"/>
      <c r="E249" s="186" t="s">
        <v>139</v>
      </c>
      <c r="F249" s="187">
        <v>0</v>
      </c>
      <c r="G249" s="239" t="s">
        <v>85</v>
      </c>
      <c r="H249" s="243">
        <v>0</v>
      </c>
      <c r="I249" s="373">
        <f t="shared" si="64"/>
        <v>0</v>
      </c>
      <c r="J249" s="250" t="s">
        <v>139</v>
      </c>
      <c r="K249" s="508" t="s">
        <v>139</v>
      </c>
      <c r="L249" s="399" t="s">
        <v>139</v>
      </c>
      <c r="M249" s="403">
        <v>0</v>
      </c>
      <c r="N249" s="282" t="s">
        <v>139</v>
      </c>
      <c r="O249" s="302" t="str">
        <f>IF(OR(M249=0,N249="NA"),"NA",IFERROR(INDEX('Data - Reference'!$B$37:$B$50,MATCH('Unit Summary - Rent Roll'!$M249,INDEX('Data - Reference'!$B$37:$J$50,,MATCH('Unit Summary - Rent Roll'!$N249,'Data - Reference'!$B$37:$J$37,0)),-1),1),"NA"))</f>
        <v>NA</v>
      </c>
      <c r="P249" s="239" t="s">
        <v>85</v>
      </c>
      <c r="Q249" s="239" t="s">
        <v>85</v>
      </c>
      <c r="R249" s="188">
        <v>0</v>
      </c>
      <c r="S249" s="364">
        <f t="shared" si="65"/>
        <v>0</v>
      </c>
      <c r="T249" s="97">
        <f t="shared" si="66"/>
        <v>0</v>
      </c>
      <c r="U249" s="188">
        <v>0</v>
      </c>
      <c r="V249" s="364">
        <f t="shared" si="67"/>
        <v>0</v>
      </c>
      <c r="W249" s="97">
        <f t="shared" si="68"/>
        <v>0</v>
      </c>
      <c r="X249" s="71">
        <f>IFERROR(IF(INDEX(AC$14:AC$18,MATCH($E249,$AB$14:$AB$18,0))&lt;&gt;0,INDEX(AC$14:AC$18,MATCH($E249,$AB$14:$AB$18,0)),
IF($M249="Market",0,IF($L249="HUD FMR",INDEX('Data - Reference'!$B$31:$G$31,MATCH($E249,'Data - Reference'!$B$9:$G$9,0)),INDEX('Data - Reference'!$B$9:$G$31,MATCH($K249,'Data - Reference'!$B$9:$B$31,0),MATCH($E249,'Data - Reference'!$B$9:$G$9,0))))),0)</f>
        <v>0</v>
      </c>
      <c r="Y249" s="71">
        <f>IFERROR(IF(INDEX(AD$14:AD$18,MATCH($E249,$AB$14:$AB$18,0))&lt;&gt;0,INDEX(AD$14:AD$18,MATCH($E249,$AB$14:$AB$18,0)),
IF($K249="None - Market",0,-INDEX('Data - Reference'!$B$32:$G$32,MATCH($E249,'Data - Reference'!$B$9:$G$9,0)))),0)</f>
        <v>0</v>
      </c>
      <c r="Z249" s="74">
        <f t="shared" si="62"/>
        <v>0</v>
      </c>
      <c r="AA249" s="67">
        <f t="shared" si="69"/>
        <v>0</v>
      </c>
      <c r="AB249" s="97">
        <f t="shared" si="70"/>
        <v>0</v>
      </c>
      <c r="AC249" s="82">
        <f t="shared" si="5"/>
        <v>0</v>
      </c>
      <c r="AD249" s="83">
        <f t="shared" si="71"/>
        <v>0</v>
      </c>
      <c r="AE249" s="97">
        <f t="shared" si="72"/>
        <v>0</v>
      </c>
      <c r="AF249" s="415" t="str">
        <f t="shared" si="63"/>
        <v>NA</v>
      </c>
      <c r="AG249" s="420" t="str">
        <f t="shared" si="73"/>
        <v>NA</v>
      </c>
      <c r="AH249" s="420" t="str">
        <f t="shared" si="74"/>
        <v>NA</v>
      </c>
      <c r="AI249" s="417" t="str">
        <f t="shared" si="4"/>
        <v>NA</v>
      </c>
      <c r="AJ249" s="417" t="str">
        <f t="shared" si="75"/>
        <v>NA</v>
      </c>
      <c r="AK249" s="524" t="str">
        <f>IFERROR(INDEX('Legacy Resident Reference'!R:R,MATCH('Unit Summary - Rent Roll'!AJ249,'Legacy Resident Reference'!P:P,0)),"NA")</f>
        <v>NA</v>
      </c>
    </row>
    <row r="250" spans="2:37" ht="13.8" hidden="1" outlineLevel="1" x14ac:dyDescent="0.3">
      <c r="B250" s="236">
        <v>224</v>
      </c>
      <c r="C250" s="580" t="s">
        <v>143</v>
      </c>
      <c r="D250" s="581"/>
      <c r="E250" s="186" t="s">
        <v>139</v>
      </c>
      <c r="F250" s="187">
        <v>0</v>
      </c>
      <c r="G250" s="239" t="s">
        <v>85</v>
      </c>
      <c r="H250" s="243">
        <v>0</v>
      </c>
      <c r="I250" s="373">
        <f t="shared" si="64"/>
        <v>0</v>
      </c>
      <c r="J250" s="250" t="s">
        <v>139</v>
      </c>
      <c r="K250" s="508" t="s">
        <v>139</v>
      </c>
      <c r="L250" s="399" t="s">
        <v>139</v>
      </c>
      <c r="M250" s="403">
        <v>0</v>
      </c>
      <c r="N250" s="282" t="s">
        <v>139</v>
      </c>
      <c r="O250" s="302" t="str">
        <f>IF(OR(M250=0,N250="NA"),"NA",IFERROR(INDEX('Data - Reference'!$B$37:$B$50,MATCH('Unit Summary - Rent Roll'!$M250,INDEX('Data - Reference'!$B$37:$J$50,,MATCH('Unit Summary - Rent Roll'!$N250,'Data - Reference'!$B$37:$J$37,0)),-1),1),"NA"))</f>
        <v>NA</v>
      </c>
      <c r="P250" s="239" t="s">
        <v>85</v>
      </c>
      <c r="Q250" s="239" t="s">
        <v>85</v>
      </c>
      <c r="R250" s="188">
        <v>0</v>
      </c>
      <c r="S250" s="364">
        <f t="shared" si="65"/>
        <v>0</v>
      </c>
      <c r="T250" s="97">
        <f t="shared" si="66"/>
        <v>0</v>
      </c>
      <c r="U250" s="188">
        <v>0</v>
      </c>
      <c r="V250" s="364">
        <f t="shared" si="67"/>
        <v>0</v>
      </c>
      <c r="W250" s="97">
        <f t="shared" si="68"/>
        <v>0</v>
      </c>
      <c r="X250" s="71">
        <f>IFERROR(IF(INDEX(AC$14:AC$18,MATCH($E250,$AB$14:$AB$18,0))&lt;&gt;0,INDEX(AC$14:AC$18,MATCH($E250,$AB$14:$AB$18,0)),
IF($M250="Market",0,IF($L250="HUD FMR",INDEX('Data - Reference'!$B$31:$G$31,MATCH($E250,'Data - Reference'!$B$9:$G$9,0)),INDEX('Data - Reference'!$B$9:$G$31,MATCH($K250,'Data - Reference'!$B$9:$B$31,0),MATCH($E250,'Data - Reference'!$B$9:$G$9,0))))),0)</f>
        <v>0</v>
      </c>
      <c r="Y250" s="71">
        <f>IFERROR(IF(INDEX(AD$14:AD$18,MATCH($E250,$AB$14:$AB$18,0))&lt;&gt;0,INDEX(AD$14:AD$18,MATCH($E250,$AB$14:$AB$18,0)),
IF($K250="None - Market",0,-INDEX('Data - Reference'!$B$32:$G$32,MATCH($E250,'Data - Reference'!$B$9:$G$9,0)))),0)</f>
        <v>0</v>
      </c>
      <c r="Z250" s="74">
        <f t="shared" si="62"/>
        <v>0</v>
      </c>
      <c r="AA250" s="67">
        <f t="shared" si="69"/>
        <v>0</v>
      </c>
      <c r="AB250" s="97">
        <f t="shared" si="70"/>
        <v>0</v>
      </c>
      <c r="AC250" s="82">
        <f t="shared" si="5"/>
        <v>0</v>
      </c>
      <c r="AD250" s="83">
        <f t="shared" si="71"/>
        <v>0</v>
      </c>
      <c r="AE250" s="97">
        <f t="shared" si="72"/>
        <v>0</v>
      </c>
      <c r="AF250" s="415" t="str">
        <f t="shared" si="63"/>
        <v>NA</v>
      </c>
      <c r="AG250" s="420" t="str">
        <f t="shared" si="73"/>
        <v>NA</v>
      </c>
      <c r="AH250" s="420" t="str">
        <f t="shared" si="74"/>
        <v>NA</v>
      </c>
      <c r="AI250" s="417" t="str">
        <f t="shared" si="4"/>
        <v>NA</v>
      </c>
      <c r="AJ250" s="417" t="str">
        <f t="shared" si="75"/>
        <v>NA</v>
      </c>
      <c r="AK250" s="524" t="str">
        <f>IFERROR(INDEX('Legacy Resident Reference'!R:R,MATCH('Unit Summary - Rent Roll'!AJ250,'Legacy Resident Reference'!P:P,0)),"NA")</f>
        <v>NA</v>
      </c>
    </row>
    <row r="251" spans="2:37" ht="13.8" hidden="1" outlineLevel="1" x14ac:dyDescent="0.3">
      <c r="B251" s="236">
        <v>225</v>
      </c>
      <c r="C251" s="580" t="s">
        <v>143</v>
      </c>
      <c r="D251" s="581"/>
      <c r="E251" s="186" t="s">
        <v>139</v>
      </c>
      <c r="F251" s="187">
        <v>0</v>
      </c>
      <c r="G251" s="239" t="s">
        <v>85</v>
      </c>
      <c r="H251" s="243">
        <v>0</v>
      </c>
      <c r="I251" s="373">
        <f t="shared" si="64"/>
        <v>0</v>
      </c>
      <c r="J251" s="250" t="s">
        <v>139</v>
      </c>
      <c r="K251" s="508" t="s">
        <v>139</v>
      </c>
      <c r="L251" s="399" t="s">
        <v>139</v>
      </c>
      <c r="M251" s="403">
        <v>0</v>
      </c>
      <c r="N251" s="282" t="s">
        <v>139</v>
      </c>
      <c r="O251" s="302" t="str">
        <f>IF(OR(M251=0,N251="NA"),"NA",IFERROR(INDEX('Data - Reference'!$B$37:$B$50,MATCH('Unit Summary - Rent Roll'!$M251,INDEX('Data - Reference'!$B$37:$J$50,,MATCH('Unit Summary - Rent Roll'!$N251,'Data - Reference'!$B$37:$J$37,0)),-1),1),"NA"))</f>
        <v>NA</v>
      </c>
      <c r="P251" s="239" t="s">
        <v>85</v>
      </c>
      <c r="Q251" s="239" t="s">
        <v>85</v>
      </c>
      <c r="R251" s="188">
        <v>0</v>
      </c>
      <c r="S251" s="364">
        <f t="shared" si="65"/>
        <v>0</v>
      </c>
      <c r="T251" s="97">
        <f t="shared" si="66"/>
        <v>0</v>
      </c>
      <c r="U251" s="188">
        <v>0</v>
      </c>
      <c r="V251" s="364">
        <f t="shared" si="67"/>
        <v>0</v>
      </c>
      <c r="W251" s="97">
        <f t="shared" si="68"/>
        <v>0</v>
      </c>
      <c r="X251" s="71">
        <f>IFERROR(IF(INDEX(AC$14:AC$18,MATCH($E251,$AB$14:$AB$18,0))&lt;&gt;0,INDEX(AC$14:AC$18,MATCH($E251,$AB$14:$AB$18,0)),
IF($M251="Market",0,IF($L251="HUD FMR",INDEX('Data - Reference'!$B$31:$G$31,MATCH($E251,'Data - Reference'!$B$9:$G$9,0)),INDEX('Data - Reference'!$B$9:$G$31,MATCH($K251,'Data - Reference'!$B$9:$B$31,0),MATCH($E251,'Data - Reference'!$B$9:$G$9,0))))),0)</f>
        <v>0</v>
      </c>
      <c r="Y251" s="71">
        <f>IFERROR(IF(INDEX(AD$14:AD$18,MATCH($E251,$AB$14:$AB$18,0))&lt;&gt;0,INDEX(AD$14:AD$18,MATCH($E251,$AB$14:$AB$18,0)),
IF($K251="None - Market",0,-INDEX('Data - Reference'!$B$32:$G$32,MATCH($E251,'Data - Reference'!$B$9:$G$9,0)))),0)</f>
        <v>0</v>
      </c>
      <c r="Z251" s="74">
        <f t="shared" si="62"/>
        <v>0</v>
      </c>
      <c r="AA251" s="67">
        <f t="shared" si="69"/>
        <v>0</v>
      </c>
      <c r="AB251" s="97">
        <f t="shared" si="70"/>
        <v>0</v>
      </c>
      <c r="AC251" s="82">
        <f t="shared" si="5"/>
        <v>0</v>
      </c>
      <c r="AD251" s="83">
        <f t="shared" si="71"/>
        <v>0</v>
      </c>
      <c r="AE251" s="97">
        <f t="shared" si="72"/>
        <v>0</v>
      </c>
      <c r="AF251" s="415" t="str">
        <f t="shared" si="63"/>
        <v>NA</v>
      </c>
      <c r="AG251" s="420" t="str">
        <f t="shared" si="73"/>
        <v>NA</v>
      </c>
      <c r="AH251" s="420" t="str">
        <f t="shared" si="74"/>
        <v>NA</v>
      </c>
      <c r="AI251" s="417" t="str">
        <f t="shared" si="4"/>
        <v>NA</v>
      </c>
      <c r="AJ251" s="417" t="str">
        <f t="shared" si="75"/>
        <v>NA</v>
      </c>
      <c r="AK251" s="524" t="str">
        <f>IFERROR(INDEX('Legacy Resident Reference'!R:R,MATCH('Unit Summary - Rent Roll'!AJ251,'Legacy Resident Reference'!P:P,0)),"NA")</f>
        <v>NA</v>
      </c>
    </row>
    <row r="252" spans="2:37" ht="13.8" hidden="1" outlineLevel="1" x14ac:dyDescent="0.3">
      <c r="B252" s="236">
        <v>226</v>
      </c>
      <c r="C252" s="580" t="s">
        <v>143</v>
      </c>
      <c r="D252" s="581"/>
      <c r="E252" s="186" t="s">
        <v>139</v>
      </c>
      <c r="F252" s="187">
        <v>0</v>
      </c>
      <c r="G252" s="239" t="s">
        <v>85</v>
      </c>
      <c r="H252" s="243">
        <v>0</v>
      </c>
      <c r="I252" s="373">
        <f t="shared" si="64"/>
        <v>0</v>
      </c>
      <c r="J252" s="250" t="s">
        <v>139</v>
      </c>
      <c r="K252" s="508" t="s">
        <v>139</v>
      </c>
      <c r="L252" s="399" t="s">
        <v>139</v>
      </c>
      <c r="M252" s="403">
        <v>0</v>
      </c>
      <c r="N252" s="282" t="s">
        <v>139</v>
      </c>
      <c r="O252" s="302" t="str">
        <f>IF(OR(M252=0,N252="NA"),"NA",IFERROR(INDEX('Data - Reference'!$B$37:$B$50,MATCH('Unit Summary - Rent Roll'!$M252,INDEX('Data - Reference'!$B$37:$J$50,,MATCH('Unit Summary - Rent Roll'!$N252,'Data - Reference'!$B$37:$J$37,0)),-1),1),"NA"))</f>
        <v>NA</v>
      </c>
      <c r="P252" s="239" t="s">
        <v>85</v>
      </c>
      <c r="Q252" s="239" t="s">
        <v>85</v>
      </c>
      <c r="R252" s="188">
        <v>0</v>
      </c>
      <c r="S252" s="364">
        <f t="shared" si="65"/>
        <v>0</v>
      </c>
      <c r="T252" s="97">
        <f t="shared" si="66"/>
        <v>0</v>
      </c>
      <c r="U252" s="188">
        <v>0</v>
      </c>
      <c r="V252" s="364">
        <f t="shared" si="67"/>
        <v>0</v>
      </c>
      <c r="W252" s="97">
        <f t="shared" si="68"/>
        <v>0</v>
      </c>
      <c r="X252" s="71">
        <f>IFERROR(IF(INDEX(AC$14:AC$18,MATCH($E252,$AB$14:$AB$18,0))&lt;&gt;0,INDEX(AC$14:AC$18,MATCH($E252,$AB$14:$AB$18,0)),
IF($M252="Market",0,IF($L252="HUD FMR",INDEX('Data - Reference'!$B$31:$G$31,MATCH($E252,'Data - Reference'!$B$9:$G$9,0)),INDEX('Data - Reference'!$B$9:$G$31,MATCH($K252,'Data - Reference'!$B$9:$B$31,0),MATCH($E252,'Data - Reference'!$B$9:$G$9,0))))),0)</f>
        <v>0</v>
      </c>
      <c r="Y252" s="71">
        <f>IFERROR(IF(INDEX(AD$14:AD$18,MATCH($E252,$AB$14:$AB$18,0))&lt;&gt;0,INDEX(AD$14:AD$18,MATCH($E252,$AB$14:$AB$18,0)),
IF($K252="None - Market",0,-INDEX('Data - Reference'!$B$32:$G$32,MATCH($E252,'Data - Reference'!$B$9:$G$9,0)))),0)</f>
        <v>0</v>
      </c>
      <c r="Z252" s="74">
        <f t="shared" si="62"/>
        <v>0</v>
      </c>
      <c r="AA252" s="67">
        <f t="shared" si="69"/>
        <v>0</v>
      </c>
      <c r="AB252" s="97">
        <f t="shared" si="70"/>
        <v>0</v>
      </c>
      <c r="AC252" s="82">
        <f t="shared" si="5"/>
        <v>0</v>
      </c>
      <c r="AD252" s="83">
        <f t="shared" si="71"/>
        <v>0</v>
      </c>
      <c r="AE252" s="97">
        <f t="shared" si="72"/>
        <v>0</v>
      </c>
      <c r="AF252" s="415" t="str">
        <f t="shared" si="63"/>
        <v>NA</v>
      </c>
      <c r="AG252" s="420" t="str">
        <f t="shared" si="73"/>
        <v>NA</v>
      </c>
      <c r="AH252" s="420" t="str">
        <f t="shared" si="74"/>
        <v>NA</v>
      </c>
      <c r="AI252" s="417" t="str">
        <f t="shared" si="4"/>
        <v>NA</v>
      </c>
      <c r="AJ252" s="417" t="str">
        <f t="shared" si="75"/>
        <v>NA</v>
      </c>
      <c r="AK252" s="524" t="str">
        <f>IFERROR(INDEX('Legacy Resident Reference'!R:R,MATCH('Unit Summary - Rent Roll'!AJ252,'Legacy Resident Reference'!P:P,0)),"NA")</f>
        <v>NA</v>
      </c>
    </row>
    <row r="253" spans="2:37" ht="13.8" hidden="1" outlineLevel="1" x14ac:dyDescent="0.3">
      <c r="B253" s="236">
        <v>227</v>
      </c>
      <c r="C253" s="580" t="s">
        <v>143</v>
      </c>
      <c r="D253" s="581"/>
      <c r="E253" s="186" t="s">
        <v>139</v>
      </c>
      <c r="F253" s="187">
        <v>0</v>
      </c>
      <c r="G253" s="239" t="s">
        <v>85</v>
      </c>
      <c r="H253" s="243">
        <v>0</v>
      </c>
      <c r="I253" s="373">
        <f t="shared" si="64"/>
        <v>0</v>
      </c>
      <c r="J253" s="250" t="s">
        <v>139</v>
      </c>
      <c r="K253" s="508" t="s">
        <v>139</v>
      </c>
      <c r="L253" s="399" t="s">
        <v>139</v>
      </c>
      <c r="M253" s="403">
        <v>0</v>
      </c>
      <c r="N253" s="282" t="s">
        <v>139</v>
      </c>
      <c r="O253" s="302" t="str">
        <f>IF(OR(M253=0,N253="NA"),"NA",IFERROR(INDEX('Data - Reference'!$B$37:$B$50,MATCH('Unit Summary - Rent Roll'!$M253,INDEX('Data - Reference'!$B$37:$J$50,,MATCH('Unit Summary - Rent Roll'!$N253,'Data - Reference'!$B$37:$J$37,0)),-1),1),"NA"))</f>
        <v>NA</v>
      </c>
      <c r="P253" s="239" t="s">
        <v>85</v>
      </c>
      <c r="Q253" s="239" t="s">
        <v>85</v>
      </c>
      <c r="R253" s="188">
        <v>0</v>
      </c>
      <c r="S253" s="364">
        <f t="shared" si="65"/>
        <v>0</v>
      </c>
      <c r="T253" s="97">
        <f t="shared" si="66"/>
        <v>0</v>
      </c>
      <c r="U253" s="188">
        <v>0</v>
      </c>
      <c r="V253" s="364">
        <f t="shared" si="67"/>
        <v>0</v>
      </c>
      <c r="W253" s="97">
        <f t="shared" si="68"/>
        <v>0</v>
      </c>
      <c r="X253" s="71">
        <f>IFERROR(IF(INDEX(AC$14:AC$18,MATCH($E253,$AB$14:$AB$18,0))&lt;&gt;0,INDEX(AC$14:AC$18,MATCH($E253,$AB$14:$AB$18,0)),
IF($M253="Market",0,IF($L253="HUD FMR",INDEX('Data - Reference'!$B$31:$G$31,MATCH($E253,'Data - Reference'!$B$9:$G$9,0)),INDEX('Data - Reference'!$B$9:$G$31,MATCH($K253,'Data - Reference'!$B$9:$B$31,0),MATCH($E253,'Data - Reference'!$B$9:$G$9,0))))),0)</f>
        <v>0</v>
      </c>
      <c r="Y253" s="71">
        <f>IFERROR(IF(INDEX(AD$14:AD$18,MATCH($E253,$AB$14:$AB$18,0))&lt;&gt;0,INDEX(AD$14:AD$18,MATCH($E253,$AB$14:$AB$18,0)),
IF($K253="None - Market",0,-INDEX('Data - Reference'!$B$32:$G$32,MATCH($E253,'Data - Reference'!$B$9:$G$9,0)))),0)</f>
        <v>0</v>
      </c>
      <c r="Z253" s="74">
        <f t="shared" si="62"/>
        <v>0</v>
      </c>
      <c r="AA253" s="67">
        <f t="shared" si="69"/>
        <v>0</v>
      </c>
      <c r="AB253" s="97">
        <f t="shared" si="70"/>
        <v>0</v>
      </c>
      <c r="AC253" s="82">
        <f t="shared" si="5"/>
        <v>0</v>
      </c>
      <c r="AD253" s="83">
        <f t="shared" si="71"/>
        <v>0</v>
      </c>
      <c r="AE253" s="97">
        <f t="shared" si="72"/>
        <v>0</v>
      </c>
      <c r="AF253" s="415" t="str">
        <f t="shared" si="63"/>
        <v>NA</v>
      </c>
      <c r="AG253" s="420" t="str">
        <f t="shared" si="73"/>
        <v>NA</v>
      </c>
      <c r="AH253" s="420" t="str">
        <f t="shared" si="74"/>
        <v>NA</v>
      </c>
      <c r="AI253" s="417" t="str">
        <f t="shared" si="4"/>
        <v>NA</v>
      </c>
      <c r="AJ253" s="417" t="str">
        <f t="shared" si="75"/>
        <v>NA</v>
      </c>
      <c r="AK253" s="524" t="str">
        <f>IFERROR(INDEX('Legacy Resident Reference'!R:R,MATCH('Unit Summary - Rent Roll'!AJ253,'Legacy Resident Reference'!P:P,0)),"NA")</f>
        <v>NA</v>
      </c>
    </row>
    <row r="254" spans="2:37" ht="13.8" hidden="1" outlineLevel="1" x14ac:dyDescent="0.3">
      <c r="B254" s="236">
        <v>228</v>
      </c>
      <c r="C254" s="580" t="s">
        <v>143</v>
      </c>
      <c r="D254" s="581"/>
      <c r="E254" s="186" t="s">
        <v>139</v>
      </c>
      <c r="F254" s="187">
        <v>0</v>
      </c>
      <c r="G254" s="239" t="s">
        <v>85</v>
      </c>
      <c r="H254" s="243">
        <v>0</v>
      </c>
      <c r="I254" s="373">
        <f t="shared" si="64"/>
        <v>0</v>
      </c>
      <c r="J254" s="250" t="s">
        <v>139</v>
      </c>
      <c r="K254" s="508" t="s">
        <v>139</v>
      </c>
      <c r="L254" s="399" t="s">
        <v>139</v>
      </c>
      <c r="M254" s="403">
        <v>0</v>
      </c>
      <c r="N254" s="282" t="s">
        <v>139</v>
      </c>
      <c r="O254" s="302" t="str">
        <f>IF(OR(M254=0,N254="NA"),"NA",IFERROR(INDEX('Data - Reference'!$B$37:$B$50,MATCH('Unit Summary - Rent Roll'!$M254,INDEX('Data - Reference'!$B$37:$J$50,,MATCH('Unit Summary - Rent Roll'!$N254,'Data - Reference'!$B$37:$J$37,0)),-1),1),"NA"))</f>
        <v>NA</v>
      </c>
      <c r="P254" s="239" t="s">
        <v>85</v>
      </c>
      <c r="Q254" s="239" t="s">
        <v>85</v>
      </c>
      <c r="R254" s="188">
        <v>0</v>
      </c>
      <c r="S254" s="364">
        <f t="shared" si="65"/>
        <v>0</v>
      </c>
      <c r="T254" s="97">
        <f t="shared" si="66"/>
        <v>0</v>
      </c>
      <c r="U254" s="188">
        <v>0</v>
      </c>
      <c r="V254" s="364">
        <f t="shared" si="67"/>
        <v>0</v>
      </c>
      <c r="W254" s="97">
        <f t="shared" si="68"/>
        <v>0</v>
      </c>
      <c r="X254" s="71">
        <f>IFERROR(IF(INDEX(AC$14:AC$18,MATCH($E254,$AB$14:$AB$18,0))&lt;&gt;0,INDEX(AC$14:AC$18,MATCH($E254,$AB$14:$AB$18,0)),
IF($M254="Market",0,IF($L254="HUD FMR",INDEX('Data - Reference'!$B$31:$G$31,MATCH($E254,'Data - Reference'!$B$9:$G$9,0)),INDEX('Data - Reference'!$B$9:$G$31,MATCH($K254,'Data - Reference'!$B$9:$B$31,0),MATCH($E254,'Data - Reference'!$B$9:$G$9,0))))),0)</f>
        <v>0</v>
      </c>
      <c r="Y254" s="71">
        <f>IFERROR(IF(INDEX(AD$14:AD$18,MATCH($E254,$AB$14:$AB$18,0))&lt;&gt;0,INDEX(AD$14:AD$18,MATCH($E254,$AB$14:$AB$18,0)),
IF($K254="None - Market",0,-INDEX('Data - Reference'!$B$32:$G$32,MATCH($E254,'Data - Reference'!$B$9:$G$9,0)))),0)</f>
        <v>0</v>
      </c>
      <c r="Z254" s="74">
        <f t="shared" si="62"/>
        <v>0</v>
      </c>
      <c r="AA254" s="67">
        <f t="shared" si="69"/>
        <v>0</v>
      </c>
      <c r="AB254" s="97">
        <f t="shared" si="70"/>
        <v>0</v>
      </c>
      <c r="AC254" s="82">
        <f t="shared" si="5"/>
        <v>0</v>
      </c>
      <c r="AD254" s="83">
        <f t="shared" si="71"/>
        <v>0</v>
      </c>
      <c r="AE254" s="97">
        <f t="shared" si="72"/>
        <v>0</v>
      </c>
      <c r="AF254" s="415" t="str">
        <f t="shared" si="63"/>
        <v>NA</v>
      </c>
      <c r="AG254" s="420" t="str">
        <f t="shared" si="73"/>
        <v>NA</v>
      </c>
      <c r="AH254" s="420" t="str">
        <f t="shared" si="74"/>
        <v>NA</v>
      </c>
      <c r="AI254" s="417" t="str">
        <f t="shared" si="4"/>
        <v>NA</v>
      </c>
      <c r="AJ254" s="417" t="str">
        <f t="shared" si="75"/>
        <v>NA</v>
      </c>
      <c r="AK254" s="524" t="str">
        <f>IFERROR(INDEX('Legacy Resident Reference'!R:R,MATCH('Unit Summary - Rent Roll'!AJ254,'Legacy Resident Reference'!P:P,0)),"NA")</f>
        <v>NA</v>
      </c>
    </row>
    <row r="255" spans="2:37" ht="13.8" hidden="1" outlineLevel="1" x14ac:dyDescent="0.3">
      <c r="B255" s="236">
        <v>229</v>
      </c>
      <c r="C255" s="580" t="s">
        <v>143</v>
      </c>
      <c r="D255" s="581"/>
      <c r="E255" s="186" t="s">
        <v>139</v>
      </c>
      <c r="F255" s="187">
        <v>0</v>
      </c>
      <c r="G255" s="239" t="s">
        <v>85</v>
      </c>
      <c r="H255" s="243">
        <v>0</v>
      </c>
      <c r="I255" s="373">
        <f t="shared" si="64"/>
        <v>0</v>
      </c>
      <c r="J255" s="250" t="s">
        <v>139</v>
      </c>
      <c r="K255" s="508" t="s">
        <v>139</v>
      </c>
      <c r="L255" s="399" t="s">
        <v>139</v>
      </c>
      <c r="M255" s="403">
        <v>0</v>
      </c>
      <c r="N255" s="282" t="s">
        <v>139</v>
      </c>
      <c r="O255" s="302" t="str">
        <f>IF(OR(M255=0,N255="NA"),"NA",IFERROR(INDEX('Data - Reference'!$B$37:$B$50,MATCH('Unit Summary - Rent Roll'!$M255,INDEX('Data - Reference'!$B$37:$J$50,,MATCH('Unit Summary - Rent Roll'!$N255,'Data - Reference'!$B$37:$J$37,0)),-1),1),"NA"))</f>
        <v>NA</v>
      </c>
      <c r="P255" s="239" t="s">
        <v>85</v>
      </c>
      <c r="Q255" s="239" t="s">
        <v>85</v>
      </c>
      <c r="R255" s="188">
        <v>0</v>
      </c>
      <c r="S255" s="364">
        <f t="shared" si="65"/>
        <v>0</v>
      </c>
      <c r="T255" s="97">
        <f t="shared" si="66"/>
        <v>0</v>
      </c>
      <c r="U255" s="188">
        <v>0</v>
      </c>
      <c r="V255" s="364">
        <f t="shared" si="67"/>
        <v>0</v>
      </c>
      <c r="W255" s="97">
        <f t="shared" si="68"/>
        <v>0</v>
      </c>
      <c r="X255" s="71">
        <f>IFERROR(IF(INDEX(AC$14:AC$18,MATCH($E255,$AB$14:$AB$18,0))&lt;&gt;0,INDEX(AC$14:AC$18,MATCH($E255,$AB$14:$AB$18,0)),
IF($M255="Market",0,IF($L255="HUD FMR",INDEX('Data - Reference'!$B$31:$G$31,MATCH($E255,'Data - Reference'!$B$9:$G$9,0)),INDEX('Data - Reference'!$B$9:$G$31,MATCH($K255,'Data - Reference'!$B$9:$B$31,0),MATCH($E255,'Data - Reference'!$B$9:$G$9,0))))),0)</f>
        <v>0</v>
      </c>
      <c r="Y255" s="71">
        <f>IFERROR(IF(INDEX(AD$14:AD$18,MATCH($E255,$AB$14:$AB$18,0))&lt;&gt;0,INDEX(AD$14:AD$18,MATCH($E255,$AB$14:$AB$18,0)),
IF($K255="None - Market",0,-INDEX('Data - Reference'!$B$32:$G$32,MATCH($E255,'Data - Reference'!$B$9:$G$9,0)))),0)</f>
        <v>0</v>
      </c>
      <c r="Z255" s="74">
        <f t="shared" si="62"/>
        <v>0</v>
      </c>
      <c r="AA255" s="67">
        <f t="shared" si="69"/>
        <v>0</v>
      </c>
      <c r="AB255" s="97">
        <f t="shared" si="70"/>
        <v>0</v>
      </c>
      <c r="AC255" s="82">
        <f t="shared" si="5"/>
        <v>0</v>
      </c>
      <c r="AD255" s="83">
        <f t="shared" si="71"/>
        <v>0</v>
      </c>
      <c r="AE255" s="97">
        <f t="shared" si="72"/>
        <v>0</v>
      </c>
      <c r="AF255" s="415" t="str">
        <f t="shared" si="63"/>
        <v>NA</v>
      </c>
      <c r="AG255" s="420" t="str">
        <f t="shared" si="73"/>
        <v>NA</v>
      </c>
      <c r="AH255" s="420" t="str">
        <f t="shared" si="74"/>
        <v>NA</v>
      </c>
      <c r="AI255" s="417" t="str">
        <f t="shared" si="4"/>
        <v>NA</v>
      </c>
      <c r="AJ255" s="417" t="str">
        <f t="shared" si="75"/>
        <v>NA</v>
      </c>
      <c r="AK255" s="524" t="str">
        <f>IFERROR(INDEX('Legacy Resident Reference'!R:R,MATCH('Unit Summary - Rent Roll'!AJ255,'Legacy Resident Reference'!P:P,0)),"NA")</f>
        <v>NA</v>
      </c>
    </row>
    <row r="256" spans="2:37" ht="13.8" hidden="1" outlineLevel="1" x14ac:dyDescent="0.3">
      <c r="B256" s="236">
        <v>230</v>
      </c>
      <c r="C256" s="580" t="s">
        <v>143</v>
      </c>
      <c r="D256" s="581"/>
      <c r="E256" s="186" t="s">
        <v>139</v>
      </c>
      <c r="F256" s="187">
        <v>0</v>
      </c>
      <c r="G256" s="239" t="s">
        <v>85</v>
      </c>
      <c r="H256" s="243">
        <v>0</v>
      </c>
      <c r="I256" s="373">
        <f t="shared" si="64"/>
        <v>0</v>
      </c>
      <c r="J256" s="250" t="s">
        <v>139</v>
      </c>
      <c r="K256" s="508" t="s">
        <v>139</v>
      </c>
      <c r="L256" s="399" t="s">
        <v>139</v>
      </c>
      <c r="M256" s="403">
        <v>0</v>
      </c>
      <c r="N256" s="282" t="s">
        <v>139</v>
      </c>
      <c r="O256" s="302" t="str">
        <f>IF(OR(M256=0,N256="NA"),"NA",IFERROR(INDEX('Data - Reference'!$B$37:$B$50,MATCH('Unit Summary - Rent Roll'!$M256,INDEX('Data - Reference'!$B$37:$J$50,,MATCH('Unit Summary - Rent Roll'!$N256,'Data - Reference'!$B$37:$J$37,0)),-1),1),"NA"))</f>
        <v>NA</v>
      </c>
      <c r="P256" s="239" t="s">
        <v>85</v>
      </c>
      <c r="Q256" s="239" t="s">
        <v>85</v>
      </c>
      <c r="R256" s="188">
        <v>0</v>
      </c>
      <c r="S256" s="364">
        <f t="shared" si="65"/>
        <v>0</v>
      </c>
      <c r="T256" s="97">
        <f t="shared" si="66"/>
        <v>0</v>
      </c>
      <c r="U256" s="188">
        <v>0</v>
      </c>
      <c r="V256" s="364">
        <f t="shared" si="67"/>
        <v>0</v>
      </c>
      <c r="W256" s="97">
        <f t="shared" si="68"/>
        <v>0</v>
      </c>
      <c r="X256" s="71">
        <f>IFERROR(IF(INDEX(AC$14:AC$18,MATCH($E256,$AB$14:$AB$18,0))&lt;&gt;0,INDEX(AC$14:AC$18,MATCH($E256,$AB$14:$AB$18,0)),
IF($M256="Market",0,IF($L256="HUD FMR",INDEX('Data - Reference'!$B$31:$G$31,MATCH($E256,'Data - Reference'!$B$9:$G$9,0)),INDEX('Data - Reference'!$B$9:$G$31,MATCH($K256,'Data - Reference'!$B$9:$B$31,0),MATCH($E256,'Data - Reference'!$B$9:$G$9,0))))),0)</f>
        <v>0</v>
      </c>
      <c r="Y256" s="71">
        <f>IFERROR(IF(INDEX(AD$14:AD$18,MATCH($E256,$AB$14:$AB$18,0))&lt;&gt;0,INDEX(AD$14:AD$18,MATCH($E256,$AB$14:$AB$18,0)),
IF($K256="None - Market",0,-INDEX('Data - Reference'!$B$32:$G$32,MATCH($E256,'Data - Reference'!$B$9:$G$9,0)))),0)</f>
        <v>0</v>
      </c>
      <c r="Z256" s="74">
        <f t="shared" si="62"/>
        <v>0</v>
      </c>
      <c r="AA256" s="67">
        <f t="shared" si="69"/>
        <v>0</v>
      </c>
      <c r="AB256" s="97">
        <f t="shared" si="70"/>
        <v>0</v>
      </c>
      <c r="AC256" s="82">
        <f t="shared" si="5"/>
        <v>0</v>
      </c>
      <c r="AD256" s="83">
        <f t="shared" si="71"/>
        <v>0</v>
      </c>
      <c r="AE256" s="97">
        <f t="shared" si="72"/>
        <v>0</v>
      </c>
      <c r="AF256" s="415" t="str">
        <f t="shared" si="63"/>
        <v>NA</v>
      </c>
      <c r="AG256" s="420" t="str">
        <f t="shared" si="73"/>
        <v>NA</v>
      </c>
      <c r="AH256" s="420" t="str">
        <f t="shared" si="74"/>
        <v>NA</v>
      </c>
      <c r="AI256" s="417" t="str">
        <f t="shared" si="4"/>
        <v>NA</v>
      </c>
      <c r="AJ256" s="417" t="str">
        <f t="shared" si="75"/>
        <v>NA</v>
      </c>
      <c r="AK256" s="524" t="str">
        <f>IFERROR(INDEX('Legacy Resident Reference'!R:R,MATCH('Unit Summary - Rent Roll'!AJ256,'Legacy Resident Reference'!P:P,0)),"NA")</f>
        <v>NA</v>
      </c>
    </row>
    <row r="257" spans="2:37" ht="13.8" hidden="1" outlineLevel="1" x14ac:dyDescent="0.3">
      <c r="B257" s="236">
        <v>231</v>
      </c>
      <c r="C257" s="580" t="s">
        <v>143</v>
      </c>
      <c r="D257" s="581"/>
      <c r="E257" s="186" t="s">
        <v>139</v>
      </c>
      <c r="F257" s="187">
        <v>0</v>
      </c>
      <c r="G257" s="239" t="s">
        <v>85</v>
      </c>
      <c r="H257" s="243">
        <v>0</v>
      </c>
      <c r="I257" s="373">
        <f t="shared" si="64"/>
        <v>0</v>
      </c>
      <c r="J257" s="250" t="s">
        <v>139</v>
      </c>
      <c r="K257" s="508" t="s">
        <v>139</v>
      </c>
      <c r="L257" s="399" t="s">
        <v>139</v>
      </c>
      <c r="M257" s="403">
        <v>0</v>
      </c>
      <c r="N257" s="282" t="s">
        <v>139</v>
      </c>
      <c r="O257" s="302" t="str">
        <f>IF(OR(M257=0,N257="NA"),"NA",IFERROR(INDEX('Data - Reference'!$B$37:$B$50,MATCH('Unit Summary - Rent Roll'!$M257,INDEX('Data - Reference'!$B$37:$J$50,,MATCH('Unit Summary - Rent Roll'!$N257,'Data - Reference'!$B$37:$J$37,0)),-1),1),"NA"))</f>
        <v>NA</v>
      </c>
      <c r="P257" s="239" t="s">
        <v>85</v>
      </c>
      <c r="Q257" s="239" t="s">
        <v>85</v>
      </c>
      <c r="R257" s="188">
        <v>0</v>
      </c>
      <c r="S257" s="364">
        <f t="shared" si="65"/>
        <v>0</v>
      </c>
      <c r="T257" s="97">
        <f t="shared" si="66"/>
        <v>0</v>
      </c>
      <c r="U257" s="188">
        <v>0</v>
      </c>
      <c r="V257" s="364">
        <f t="shared" si="67"/>
        <v>0</v>
      </c>
      <c r="W257" s="97">
        <f t="shared" si="68"/>
        <v>0</v>
      </c>
      <c r="X257" s="71">
        <f>IFERROR(IF(INDEX(AC$14:AC$18,MATCH($E257,$AB$14:$AB$18,0))&lt;&gt;0,INDEX(AC$14:AC$18,MATCH($E257,$AB$14:$AB$18,0)),
IF($M257="Market",0,IF($L257="HUD FMR",INDEX('Data - Reference'!$B$31:$G$31,MATCH($E257,'Data - Reference'!$B$9:$G$9,0)),INDEX('Data - Reference'!$B$9:$G$31,MATCH($K257,'Data - Reference'!$B$9:$B$31,0),MATCH($E257,'Data - Reference'!$B$9:$G$9,0))))),0)</f>
        <v>0</v>
      </c>
      <c r="Y257" s="71">
        <f>IFERROR(IF(INDEX(AD$14:AD$18,MATCH($E257,$AB$14:$AB$18,0))&lt;&gt;0,INDEX(AD$14:AD$18,MATCH($E257,$AB$14:$AB$18,0)),
IF($K257="None - Market",0,-INDEX('Data - Reference'!$B$32:$G$32,MATCH($E257,'Data - Reference'!$B$9:$G$9,0)))),0)</f>
        <v>0</v>
      </c>
      <c r="Z257" s="74">
        <f t="shared" si="62"/>
        <v>0</v>
      </c>
      <c r="AA257" s="67">
        <f t="shared" si="69"/>
        <v>0</v>
      </c>
      <c r="AB257" s="97">
        <f t="shared" si="70"/>
        <v>0</v>
      </c>
      <c r="AC257" s="82">
        <f t="shared" si="5"/>
        <v>0</v>
      </c>
      <c r="AD257" s="83">
        <f t="shared" si="71"/>
        <v>0</v>
      </c>
      <c r="AE257" s="97">
        <f t="shared" si="72"/>
        <v>0</v>
      </c>
      <c r="AF257" s="415" t="str">
        <f t="shared" si="63"/>
        <v>NA</v>
      </c>
      <c r="AG257" s="420" t="str">
        <f t="shared" si="73"/>
        <v>NA</v>
      </c>
      <c r="AH257" s="420" t="str">
        <f t="shared" si="74"/>
        <v>NA</v>
      </c>
      <c r="AI257" s="417" t="str">
        <f t="shared" si="4"/>
        <v>NA</v>
      </c>
      <c r="AJ257" s="417" t="str">
        <f t="shared" si="75"/>
        <v>NA</v>
      </c>
      <c r="AK257" s="524" t="str">
        <f>IFERROR(INDEX('Legacy Resident Reference'!R:R,MATCH('Unit Summary - Rent Roll'!AJ257,'Legacy Resident Reference'!P:P,0)),"NA")</f>
        <v>NA</v>
      </c>
    </row>
    <row r="258" spans="2:37" ht="13.8" hidden="1" outlineLevel="1" x14ac:dyDescent="0.3">
      <c r="B258" s="236">
        <v>232</v>
      </c>
      <c r="C258" s="580" t="s">
        <v>143</v>
      </c>
      <c r="D258" s="581"/>
      <c r="E258" s="186" t="s">
        <v>139</v>
      </c>
      <c r="F258" s="187">
        <v>0</v>
      </c>
      <c r="G258" s="239" t="s">
        <v>85</v>
      </c>
      <c r="H258" s="243">
        <v>0</v>
      </c>
      <c r="I258" s="373">
        <f t="shared" si="64"/>
        <v>0</v>
      </c>
      <c r="J258" s="250" t="s">
        <v>139</v>
      </c>
      <c r="K258" s="508" t="s">
        <v>139</v>
      </c>
      <c r="L258" s="399" t="s">
        <v>139</v>
      </c>
      <c r="M258" s="403">
        <v>0</v>
      </c>
      <c r="N258" s="282" t="s">
        <v>139</v>
      </c>
      <c r="O258" s="302" t="str">
        <f>IF(OR(M258=0,N258="NA"),"NA",IFERROR(INDEX('Data - Reference'!$B$37:$B$50,MATCH('Unit Summary - Rent Roll'!$M258,INDEX('Data - Reference'!$B$37:$J$50,,MATCH('Unit Summary - Rent Roll'!$N258,'Data - Reference'!$B$37:$J$37,0)),-1),1),"NA"))</f>
        <v>NA</v>
      </c>
      <c r="P258" s="239" t="s">
        <v>85</v>
      </c>
      <c r="Q258" s="239" t="s">
        <v>85</v>
      </c>
      <c r="R258" s="188">
        <v>0</v>
      </c>
      <c r="S258" s="364">
        <f t="shared" si="65"/>
        <v>0</v>
      </c>
      <c r="T258" s="97">
        <f t="shared" si="66"/>
        <v>0</v>
      </c>
      <c r="U258" s="188">
        <v>0</v>
      </c>
      <c r="V258" s="364">
        <f t="shared" si="67"/>
        <v>0</v>
      </c>
      <c r="W258" s="97">
        <f t="shared" si="68"/>
        <v>0</v>
      </c>
      <c r="X258" s="71">
        <f>IFERROR(IF(INDEX(AC$14:AC$18,MATCH($E258,$AB$14:$AB$18,0))&lt;&gt;0,INDEX(AC$14:AC$18,MATCH($E258,$AB$14:$AB$18,0)),
IF($M258="Market",0,IF($L258="HUD FMR",INDEX('Data - Reference'!$B$31:$G$31,MATCH($E258,'Data - Reference'!$B$9:$G$9,0)),INDEX('Data - Reference'!$B$9:$G$31,MATCH($K258,'Data - Reference'!$B$9:$B$31,0),MATCH($E258,'Data - Reference'!$B$9:$G$9,0))))),0)</f>
        <v>0</v>
      </c>
      <c r="Y258" s="71">
        <f>IFERROR(IF(INDEX(AD$14:AD$18,MATCH($E258,$AB$14:$AB$18,0))&lt;&gt;0,INDEX(AD$14:AD$18,MATCH($E258,$AB$14:$AB$18,0)),
IF($K258="None - Market",0,-INDEX('Data - Reference'!$B$32:$G$32,MATCH($E258,'Data - Reference'!$B$9:$G$9,0)))),0)</f>
        <v>0</v>
      </c>
      <c r="Z258" s="74">
        <f t="shared" si="62"/>
        <v>0</v>
      </c>
      <c r="AA258" s="67">
        <f t="shared" si="69"/>
        <v>0</v>
      </c>
      <c r="AB258" s="97">
        <f t="shared" si="70"/>
        <v>0</v>
      </c>
      <c r="AC258" s="82">
        <f t="shared" si="5"/>
        <v>0</v>
      </c>
      <c r="AD258" s="83">
        <f t="shared" si="71"/>
        <v>0</v>
      </c>
      <c r="AE258" s="97">
        <f t="shared" si="72"/>
        <v>0</v>
      </c>
      <c r="AF258" s="415" t="str">
        <f t="shared" si="63"/>
        <v>NA</v>
      </c>
      <c r="AG258" s="420" t="str">
        <f t="shared" si="73"/>
        <v>NA</v>
      </c>
      <c r="AH258" s="420" t="str">
        <f t="shared" si="74"/>
        <v>NA</v>
      </c>
      <c r="AI258" s="417" t="str">
        <f t="shared" si="4"/>
        <v>NA</v>
      </c>
      <c r="AJ258" s="417" t="str">
        <f t="shared" si="75"/>
        <v>NA</v>
      </c>
      <c r="AK258" s="524" t="str">
        <f>IFERROR(INDEX('Legacy Resident Reference'!R:R,MATCH('Unit Summary - Rent Roll'!AJ258,'Legacy Resident Reference'!P:P,0)),"NA")</f>
        <v>NA</v>
      </c>
    </row>
    <row r="259" spans="2:37" ht="13.8" hidden="1" outlineLevel="1" x14ac:dyDescent="0.3">
      <c r="B259" s="236">
        <v>233</v>
      </c>
      <c r="C259" s="580" t="s">
        <v>143</v>
      </c>
      <c r="D259" s="581"/>
      <c r="E259" s="186" t="s">
        <v>139</v>
      </c>
      <c r="F259" s="187">
        <v>0</v>
      </c>
      <c r="G259" s="239" t="s">
        <v>85</v>
      </c>
      <c r="H259" s="243">
        <v>0</v>
      </c>
      <c r="I259" s="373">
        <f t="shared" si="64"/>
        <v>0</v>
      </c>
      <c r="J259" s="250" t="s">
        <v>139</v>
      </c>
      <c r="K259" s="508" t="s">
        <v>139</v>
      </c>
      <c r="L259" s="399" t="s">
        <v>139</v>
      </c>
      <c r="M259" s="403">
        <v>0</v>
      </c>
      <c r="N259" s="282" t="s">
        <v>139</v>
      </c>
      <c r="O259" s="302" t="str">
        <f>IF(OR(M259=0,N259="NA"),"NA",IFERROR(INDEX('Data - Reference'!$B$37:$B$50,MATCH('Unit Summary - Rent Roll'!$M259,INDEX('Data - Reference'!$B$37:$J$50,,MATCH('Unit Summary - Rent Roll'!$N259,'Data - Reference'!$B$37:$J$37,0)),-1),1),"NA"))</f>
        <v>NA</v>
      </c>
      <c r="P259" s="239" t="s">
        <v>85</v>
      </c>
      <c r="Q259" s="239" t="s">
        <v>85</v>
      </c>
      <c r="R259" s="188">
        <v>0</v>
      </c>
      <c r="S259" s="364">
        <f t="shared" si="65"/>
        <v>0</v>
      </c>
      <c r="T259" s="97">
        <f t="shared" si="66"/>
        <v>0</v>
      </c>
      <c r="U259" s="188">
        <v>0</v>
      </c>
      <c r="V259" s="364">
        <f t="shared" si="67"/>
        <v>0</v>
      </c>
      <c r="W259" s="97">
        <f t="shared" si="68"/>
        <v>0</v>
      </c>
      <c r="X259" s="71">
        <f>IFERROR(IF(INDEX(AC$14:AC$18,MATCH($E259,$AB$14:$AB$18,0))&lt;&gt;0,INDEX(AC$14:AC$18,MATCH($E259,$AB$14:$AB$18,0)),
IF($M259="Market",0,IF($L259="HUD FMR",INDEX('Data - Reference'!$B$31:$G$31,MATCH($E259,'Data - Reference'!$B$9:$G$9,0)),INDEX('Data - Reference'!$B$9:$G$31,MATCH($K259,'Data - Reference'!$B$9:$B$31,0),MATCH($E259,'Data - Reference'!$B$9:$G$9,0))))),0)</f>
        <v>0</v>
      </c>
      <c r="Y259" s="71">
        <f>IFERROR(IF(INDEX(AD$14:AD$18,MATCH($E259,$AB$14:$AB$18,0))&lt;&gt;0,INDEX(AD$14:AD$18,MATCH($E259,$AB$14:$AB$18,0)),
IF($K259="None - Market",0,-INDEX('Data - Reference'!$B$32:$G$32,MATCH($E259,'Data - Reference'!$B$9:$G$9,0)))),0)</f>
        <v>0</v>
      </c>
      <c r="Z259" s="74">
        <f t="shared" si="62"/>
        <v>0</v>
      </c>
      <c r="AA259" s="67">
        <f t="shared" si="69"/>
        <v>0</v>
      </c>
      <c r="AB259" s="97">
        <f t="shared" si="70"/>
        <v>0</v>
      </c>
      <c r="AC259" s="82">
        <f t="shared" si="5"/>
        <v>0</v>
      </c>
      <c r="AD259" s="83">
        <f t="shared" si="71"/>
        <v>0</v>
      </c>
      <c r="AE259" s="97">
        <f t="shared" si="72"/>
        <v>0</v>
      </c>
      <c r="AF259" s="415" t="str">
        <f t="shared" si="63"/>
        <v>NA</v>
      </c>
      <c r="AG259" s="420" t="str">
        <f t="shared" si="73"/>
        <v>NA</v>
      </c>
      <c r="AH259" s="420" t="str">
        <f t="shared" si="74"/>
        <v>NA</v>
      </c>
      <c r="AI259" s="417" t="str">
        <f t="shared" si="4"/>
        <v>NA</v>
      </c>
      <c r="AJ259" s="417" t="str">
        <f t="shared" si="75"/>
        <v>NA</v>
      </c>
      <c r="AK259" s="524" t="str">
        <f>IFERROR(INDEX('Legacy Resident Reference'!R:R,MATCH('Unit Summary - Rent Roll'!AJ259,'Legacy Resident Reference'!P:P,0)),"NA")</f>
        <v>NA</v>
      </c>
    </row>
    <row r="260" spans="2:37" ht="13.8" hidden="1" outlineLevel="1" x14ac:dyDescent="0.3">
      <c r="B260" s="236">
        <v>234</v>
      </c>
      <c r="C260" s="580" t="s">
        <v>143</v>
      </c>
      <c r="D260" s="581"/>
      <c r="E260" s="186" t="s">
        <v>139</v>
      </c>
      <c r="F260" s="187">
        <v>0</v>
      </c>
      <c r="G260" s="239" t="s">
        <v>85</v>
      </c>
      <c r="H260" s="243">
        <v>0</v>
      </c>
      <c r="I260" s="373">
        <f t="shared" si="64"/>
        <v>0</v>
      </c>
      <c r="J260" s="250" t="s">
        <v>139</v>
      </c>
      <c r="K260" s="508" t="s">
        <v>139</v>
      </c>
      <c r="L260" s="399" t="s">
        <v>139</v>
      </c>
      <c r="M260" s="403">
        <v>0</v>
      </c>
      <c r="N260" s="282" t="s">
        <v>139</v>
      </c>
      <c r="O260" s="302" t="str">
        <f>IF(OR(M260=0,N260="NA"),"NA",IFERROR(INDEX('Data - Reference'!$B$37:$B$50,MATCH('Unit Summary - Rent Roll'!$M260,INDEX('Data - Reference'!$B$37:$J$50,,MATCH('Unit Summary - Rent Roll'!$N260,'Data - Reference'!$B$37:$J$37,0)),-1),1),"NA"))</f>
        <v>NA</v>
      </c>
      <c r="P260" s="239" t="s">
        <v>85</v>
      </c>
      <c r="Q260" s="239" t="s">
        <v>85</v>
      </c>
      <c r="R260" s="188">
        <v>0</v>
      </c>
      <c r="S260" s="364">
        <f t="shared" si="65"/>
        <v>0</v>
      </c>
      <c r="T260" s="97">
        <f t="shared" si="66"/>
        <v>0</v>
      </c>
      <c r="U260" s="188">
        <v>0</v>
      </c>
      <c r="V260" s="364">
        <f t="shared" si="67"/>
        <v>0</v>
      </c>
      <c r="W260" s="97">
        <f t="shared" si="68"/>
        <v>0</v>
      </c>
      <c r="X260" s="71">
        <f>IFERROR(IF(INDEX(AC$14:AC$18,MATCH($E260,$AB$14:$AB$18,0))&lt;&gt;0,INDEX(AC$14:AC$18,MATCH($E260,$AB$14:$AB$18,0)),
IF($M260="Market",0,IF($L260="HUD FMR",INDEX('Data - Reference'!$B$31:$G$31,MATCH($E260,'Data - Reference'!$B$9:$G$9,0)),INDEX('Data - Reference'!$B$9:$G$31,MATCH($K260,'Data - Reference'!$B$9:$B$31,0),MATCH($E260,'Data - Reference'!$B$9:$G$9,0))))),0)</f>
        <v>0</v>
      </c>
      <c r="Y260" s="71">
        <f>IFERROR(IF(INDEX(AD$14:AD$18,MATCH($E260,$AB$14:$AB$18,0))&lt;&gt;0,INDEX(AD$14:AD$18,MATCH($E260,$AB$14:$AB$18,0)),
IF($K260="None - Market",0,-INDEX('Data - Reference'!$B$32:$G$32,MATCH($E260,'Data - Reference'!$B$9:$G$9,0)))),0)</f>
        <v>0</v>
      </c>
      <c r="Z260" s="74">
        <f t="shared" si="62"/>
        <v>0</v>
      </c>
      <c r="AA260" s="67">
        <f t="shared" si="69"/>
        <v>0</v>
      </c>
      <c r="AB260" s="97">
        <f t="shared" si="70"/>
        <v>0</v>
      </c>
      <c r="AC260" s="82">
        <f t="shared" si="5"/>
        <v>0</v>
      </c>
      <c r="AD260" s="83">
        <f t="shared" si="71"/>
        <v>0</v>
      </c>
      <c r="AE260" s="97">
        <f t="shared" si="72"/>
        <v>0</v>
      </c>
      <c r="AF260" s="415" t="str">
        <f t="shared" si="63"/>
        <v>NA</v>
      </c>
      <c r="AG260" s="420" t="str">
        <f t="shared" si="73"/>
        <v>NA</v>
      </c>
      <c r="AH260" s="420" t="str">
        <f t="shared" si="74"/>
        <v>NA</v>
      </c>
      <c r="AI260" s="417" t="str">
        <f t="shared" si="4"/>
        <v>NA</v>
      </c>
      <c r="AJ260" s="417" t="str">
        <f t="shared" si="75"/>
        <v>NA</v>
      </c>
      <c r="AK260" s="524" t="str">
        <f>IFERROR(INDEX('Legacy Resident Reference'!R:R,MATCH('Unit Summary - Rent Roll'!AJ260,'Legacy Resident Reference'!P:P,0)),"NA")</f>
        <v>NA</v>
      </c>
    </row>
    <row r="261" spans="2:37" ht="13.8" hidden="1" outlineLevel="1" x14ac:dyDescent="0.3">
      <c r="B261" s="236">
        <v>235</v>
      </c>
      <c r="C261" s="580" t="s">
        <v>143</v>
      </c>
      <c r="D261" s="581"/>
      <c r="E261" s="186" t="s">
        <v>139</v>
      </c>
      <c r="F261" s="187">
        <v>0</v>
      </c>
      <c r="G261" s="239" t="s">
        <v>85</v>
      </c>
      <c r="H261" s="243">
        <v>0</v>
      </c>
      <c r="I261" s="373">
        <f t="shared" si="64"/>
        <v>0</v>
      </c>
      <c r="J261" s="250" t="s">
        <v>139</v>
      </c>
      <c r="K261" s="508" t="s">
        <v>139</v>
      </c>
      <c r="L261" s="399" t="s">
        <v>139</v>
      </c>
      <c r="M261" s="403">
        <v>0</v>
      </c>
      <c r="N261" s="282" t="s">
        <v>139</v>
      </c>
      <c r="O261" s="302" t="str">
        <f>IF(OR(M261=0,N261="NA"),"NA",IFERROR(INDEX('Data - Reference'!$B$37:$B$50,MATCH('Unit Summary - Rent Roll'!$M261,INDEX('Data - Reference'!$B$37:$J$50,,MATCH('Unit Summary - Rent Roll'!$N261,'Data - Reference'!$B$37:$J$37,0)),-1),1),"NA"))</f>
        <v>NA</v>
      </c>
      <c r="P261" s="239" t="s">
        <v>85</v>
      </c>
      <c r="Q261" s="239" t="s">
        <v>85</v>
      </c>
      <c r="R261" s="188">
        <v>0</v>
      </c>
      <c r="S261" s="364">
        <f t="shared" si="65"/>
        <v>0</v>
      </c>
      <c r="T261" s="97">
        <f t="shared" si="66"/>
        <v>0</v>
      </c>
      <c r="U261" s="188">
        <v>0</v>
      </c>
      <c r="V261" s="364">
        <f t="shared" si="67"/>
        <v>0</v>
      </c>
      <c r="W261" s="97">
        <f t="shared" si="68"/>
        <v>0</v>
      </c>
      <c r="X261" s="71">
        <f>IFERROR(IF(INDEX(AC$14:AC$18,MATCH($E261,$AB$14:$AB$18,0))&lt;&gt;0,INDEX(AC$14:AC$18,MATCH($E261,$AB$14:$AB$18,0)),
IF($M261="Market",0,IF($L261="HUD FMR",INDEX('Data - Reference'!$B$31:$G$31,MATCH($E261,'Data - Reference'!$B$9:$G$9,0)),INDEX('Data - Reference'!$B$9:$G$31,MATCH($K261,'Data - Reference'!$B$9:$B$31,0),MATCH($E261,'Data - Reference'!$B$9:$G$9,0))))),0)</f>
        <v>0</v>
      </c>
      <c r="Y261" s="71">
        <f>IFERROR(IF(INDEX(AD$14:AD$18,MATCH($E261,$AB$14:$AB$18,0))&lt;&gt;0,INDEX(AD$14:AD$18,MATCH($E261,$AB$14:$AB$18,0)),
IF($K261="None - Market",0,-INDEX('Data - Reference'!$B$32:$G$32,MATCH($E261,'Data - Reference'!$B$9:$G$9,0)))),0)</f>
        <v>0</v>
      </c>
      <c r="Z261" s="74">
        <f t="shared" si="62"/>
        <v>0</v>
      </c>
      <c r="AA261" s="67">
        <f t="shared" si="69"/>
        <v>0</v>
      </c>
      <c r="AB261" s="97">
        <f t="shared" si="70"/>
        <v>0</v>
      </c>
      <c r="AC261" s="82">
        <f t="shared" si="5"/>
        <v>0</v>
      </c>
      <c r="AD261" s="83">
        <f t="shared" si="71"/>
        <v>0</v>
      </c>
      <c r="AE261" s="97">
        <f t="shared" si="72"/>
        <v>0</v>
      </c>
      <c r="AF261" s="415" t="str">
        <f t="shared" si="63"/>
        <v>NA</v>
      </c>
      <c r="AG261" s="420" t="str">
        <f t="shared" si="73"/>
        <v>NA</v>
      </c>
      <c r="AH261" s="420" t="str">
        <f t="shared" si="74"/>
        <v>NA</v>
      </c>
      <c r="AI261" s="417" t="str">
        <f t="shared" si="4"/>
        <v>NA</v>
      </c>
      <c r="AJ261" s="417" t="str">
        <f t="shared" si="75"/>
        <v>NA</v>
      </c>
      <c r="AK261" s="524" t="str">
        <f>IFERROR(INDEX('Legacy Resident Reference'!R:R,MATCH('Unit Summary - Rent Roll'!AJ261,'Legacy Resident Reference'!P:P,0)),"NA")</f>
        <v>NA</v>
      </c>
    </row>
    <row r="262" spans="2:37" ht="13.8" hidden="1" outlineLevel="1" x14ac:dyDescent="0.3">
      <c r="B262" s="236">
        <v>236</v>
      </c>
      <c r="C262" s="580" t="s">
        <v>143</v>
      </c>
      <c r="D262" s="581"/>
      <c r="E262" s="186" t="s">
        <v>139</v>
      </c>
      <c r="F262" s="187">
        <v>0</v>
      </c>
      <c r="G262" s="239" t="s">
        <v>85</v>
      </c>
      <c r="H262" s="243">
        <v>0</v>
      </c>
      <c r="I262" s="373">
        <f t="shared" si="64"/>
        <v>0</v>
      </c>
      <c r="J262" s="250" t="s">
        <v>139</v>
      </c>
      <c r="K262" s="508" t="s">
        <v>139</v>
      </c>
      <c r="L262" s="399" t="s">
        <v>139</v>
      </c>
      <c r="M262" s="403">
        <v>0</v>
      </c>
      <c r="N262" s="282" t="s">
        <v>139</v>
      </c>
      <c r="O262" s="302" t="str">
        <f>IF(OR(M262=0,N262="NA"),"NA",IFERROR(INDEX('Data - Reference'!$B$37:$B$50,MATCH('Unit Summary - Rent Roll'!$M262,INDEX('Data - Reference'!$B$37:$J$50,,MATCH('Unit Summary - Rent Roll'!$N262,'Data - Reference'!$B$37:$J$37,0)),-1),1),"NA"))</f>
        <v>NA</v>
      </c>
      <c r="P262" s="239" t="s">
        <v>85</v>
      </c>
      <c r="Q262" s="239" t="s">
        <v>85</v>
      </c>
      <c r="R262" s="188">
        <v>0</v>
      </c>
      <c r="S262" s="364">
        <f t="shared" si="65"/>
        <v>0</v>
      </c>
      <c r="T262" s="97">
        <f t="shared" si="66"/>
        <v>0</v>
      </c>
      <c r="U262" s="188">
        <v>0</v>
      </c>
      <c r="V262" s="364">
        <f t="shared" si="67"/>
        <v>0</v>
      </c>
      <c r="W262" s="97">
        <f t="shared" si="68"/>
        <v>0</v>
      </c>
      <c r="X262" s="71">
        <f>IFERROR(IF(INDEX(AC$14:AC$18,MATCH($E262,$AB$14:$AB$18,0))&lt;&gt;0,INDEX(AC$14:AC$18,MATCH($E262,$AB$14:$AB$18,0)),
IF($M262="Market",0,IF($L262="HUD FMR",INDEX('Data - Reference'!$B$31:$G$31,MATCH($E262,'Data - Reference'!$B$9:$G$9,0)),INDEX('Data - Reference'!$B$9:$G$31,MATCH($K262,'Data - Reference'!$B$9:$B$31,0),MATCH($E262,'Data - Reference'!$B$9:$G$9,0))))),0)</f>
        <v>0</v>
      </c>
      <c r="Y262" s="71">
        <f>IFERROR(IF(INDEX(AD$14:AD$18,MATCH($E262,$AB$14:$AB$18,0))&lt;&gt;0,INDEX(AD$14:AD$18,MATCH($E262,$AB$14:$AB$18,0)),
IF($K262="None - Market",0,-INDEX('Data - Reference'!$B$32:$G$32,MATCH($E262,'Data - Reference'!$B$9:$G$9,0)))),0)</f>
        <v>0</v>
      </c>
      <c r="Z262" s="74">
        <f t="shared" si="62"/>
        <v>0</v>
      </c>
      <c r="AA262" s="67">
        <f t="shared" si="69"/>
        <v>0</v>
      </c>
      <c r="AB262" s="97">
        <f t="shared" si="70"/>
        <v>0</v>
      </c>
      <c r="AC262" s="82">
        <f t="shared" si="5"/>
        <v>0</v>
      </c>
      <c r="AD262" s="83">
        <f t="shared" si="71"/>
        <v>0</v>
      </c>
      <c r="AE262" s="97">
        <f t="shared" si="72"/>
        <v>0</v>
      </c>
      <c r="AF262" s="415" t="str">
        <f t="shared" si="63"/>
        <v>NA</v>
      </c>
      <c r="AG262" s="420" t="str">
        <f t="shared" si="73"/>
        <v>NA</v>
      </c>
      <c r="AH262" s="420" t="str">
        <f t="shared" si="74"/>
        <v>NA</v>
      </c>
      <c r="AI262" s="417" t="str">
        <f t="shared" si="4"/>
        <v>NA</v>
      </c>
      <c r="AJ262" s="417" t="str">
        <f t="shared" si="75"/>
        <v>NA</v>
      </c>
      <c r="AK262" s="524" t="str">
        <f>IFERROR(INDEX('Legacy Resident Reference'!R:R,MATCH('Unit Summary - Rent Roll'!AJ262,'Legacy Resident Reference'!P:P,0)),"NA")</f>
        <v>NA</v>
      </c>
    </row>
    <row r="263" spans="2:37" ht="13.8" hidden="1" outlineLevel="1" x14ac:dyDescent="0.3">
      <c r="B263" s="236">
        <v>237</v>
      </c>
      <c r="C263" s="580" t="s">
        <v>143</v>
      </c>
      <c r="D263" s="581"/>
      <c r="E263" s="186" t="s">
        <v>139</v>
      </c>
      <c r="F263" s="187">
        <v>0</v>
      </c>
      <c r="G263" s="239" t="s">
        <v>85</v>
      </c>
      <c r="H263" s="243">
        <v>0</v>
      </c>
      <c r="I263" s="373">
        <f t="shared" si="64"/>
        <v>0</v>
      </c>
      <c r="J263" s="250" t="s">
        <v>139</v>
      </c>
      <c r="K263" s="508" t="s">
        <v>139</v>
      </c>
      <c r="L263" s="399" t="s">
        <v>139</v>
      </c>
      <c r="M263" s="403">
        <v>0</v>
      </c>
      <c r="N263" s="282" t="s">
        <v>139</v>
      </c>
      <c r="O263" s="302" t="str">
        <f>IF(OR(M263=0,N263="NA"),"NA",IFERROR(INDEX('Data - Reference'!$B$37:$B$50,MATCH('Unit Summary - Rent Roll'!$M263,INDEX('Data - Reference'!$B$37:$J$50,,MATCH('Unit Summary - Rent Roll'!$N263,'Data - Reference'!$B$37:$J$37,0)),-1),1),"NA"))</f>
        <v>NA</v>
      </c>
      <c r="P263" s="239" t="s">
        <v>85</v>
      </c>
      <c r="Q263" s="239" t="s">
        <v>85</v>
      </c>
      <c r="R263" s="188">
        <v>0</v>
      </c>
      <c r="S263" s="364">
        <f t="shared" si="65"/>
        <v>0</v>
      </c>
      <c r="T263" s="97">
        <f t="shared" si="66"/>
        <v>0</v>
      </c>
      <c r="U263" s="188">
        <v>0</v>
      </c>
      <c r="V263" s="364">
        <f t="shared" si="67"/>
        <v>0</v>
      </c>
      <c r="W263" s="97">
        <f t="shared" si="68"/>
        <v>0</v>
      </c>
      <c r="X263" s="71">
        <f>IFERROR(IF(INDEX(AC$14:AC$18,MATCH($E263,$AB$14:$AB$18,0))&lt;&gt;0,INDEX(AC$14:AC$18,MATCH($E263,$AB$14:$AB$18,0)),
IF($M263="Market",0,IF($L263="HUD FMR",INDEX('Data - Reference'!$B$31:$G$31,MATCH($E263,'Data - Reference'!$B$9:$G$9,0)),INDEX('Data - Reference'!$B$9:$G$31,MATCH($K263,'Data - Reference'!$B$9:$B$31,0),MATCH($E263,'Data - Reference'!$B$9:$G$9,0))))),0)</f>
        <v>0</v>
      </c>
      <c r="Y263" s="71">
        <f>IFERROR(IF(INDEX(AD$14:AD$18,MATCH($E263,$AB$14:$AB$18,0))&lt;&gt;0,INDEX(AD$14:AD$18,MATCH($E263,$AB$14:$AB$18,0)),
IF($K263="None - Market",0,-INDEX('Data - Reference'!$B$32:$G$32,MATCH($E263,'Data - Reference'!$B$9:$G$9,0)))),0)</f>
        <v>0</v>
      </c>
      <c r="Z263" s="74">
        <f t="shared" si="62"/>
        <v>0</v>
      </c>
      <c r="AA263" s="67">
        <f t="shared" si="69"/>
        <v>0</v>
      </c>
      <c r="AB263" s="97">
        <f t="shared" si="70"/>
        <v>0</v>
      </c>
      <c r="AC263" s="82">
        <f t="shared" si="5"/>
        <v>0</v>
      </c>
      <c r="AD263" s="83">
        <f t="shared" si="71"/>
        <v>0</v>
      </c>
      <c r="AE263" s="97">
        <f t="shared" si="72"/>
        <v>0</v>
      </c>
      <c r="AF263" s="415" t="str">
        <f t="shared" si="63"/>
        <v>NA</v>
      </c>
      <c r="AG263" s="420" t="str">
        <f t="shared" si="73"/>
        <v>NA</v>
      </c>
      <c r="AH263" s="420" t="str">
        <f t="shared" si="74"/>
        <v>NA</v>
      </c>
      <c r="AI263" s="417" t="str">
        <f t="shared" si="4"/>
        <v>NA</v>
      </c>
      <c r="AJ263" s="417" t="str">
        <f t="shared" si="75"/>
        <v>NA</v>
      </c>
      <c r="AK263" s="524" t="str">
        <f>IFERROR(INDEX('Legacy Resident Reference'!R:R,MATCH('Unit Summary - Rent Roll'!AJ263,'Legacy Resident Reference'!P:P,0)),"NA")</f>
        <v>NA</v>
      </c>
    </row>
    <row r="264" spans="2:37" ht="13.8" hidden="1" outlineLevel="1" x14ac:dyDescent="0.3">
      <c r="B264" s="236">
        <v>238</v>
      </c>
      <c r="C264" s="580" t="s">
        <v>143</v>
      </c>
      <c r="D264" s="581"/>
      <c r="E264" s="186" t="s">
        <v>139</v>
      </c>
      <c r="F264" s="187">
        <v>0</v>
      </c>
      <c r="G264" s="239" t="s">
        <v>85</v>
      </c>
      <c r="H264" s="243">
        <v>0</v>
      </c>
      <c r="I264" s="373">
        <f t="shared" si="64"/>
        <v>0</v>
      </c>
      <c r="J264" s="250" t="s">
        <v>139</v>
      </c>
      <c r="K264" s="508" t="s">
        <v>139</v>
      </c>
      <c r="L264" s="399" t="s">
        <v>139</v>
      </c>
      <c r="M264" s="403">
        <v>0</v>
      </c>
      <c r="N264" s="282" t="s">
        <v>139</v>
      </c>
      <c r="O264" s="302" t="str">
        <f>IF(OR(M264=0,N264="NA"),"NA",IFERROR(INDEX('Data - Reference'!$B$37:$B$50,MATCH('Unit Summary - Rent Roll'!$M264,INDEX('Data - Reference'!$B$37:$J$50,,MATCH('Unit Summary - Rent Roll'!$N264,'Data - Reference'!$B$37:$J$37,0)),-1),1),"NA"))</f>
        <v>NA</v>
      </c>
      <c r="P264" s="239" t="s">
        <v>85</v>
      </c>
      <c r="Q264" s="239" t="s">
        <v>85</v>
      </c>
      <c r="R264" s="188">
        <v>0</v>
      </c>
      <c r="S264" s="364">
        <f t="shared" si="65"/>
        <v>0</v>
      </c>
      <c r="T264" s="97">
        <f t="shared" si="66"/>
        <v>0</v>
      </c>
      <c r="U264" s="188">
        <v>0</v>
      </c>
      <c r="V264" s="364">
        <f t="shared" si="67"/>
        <v>0</v>
      </c>
      <c r="W264" s="97">
        <f t="shared" si="68"/>
        <v>0</v>
      </c>
      <c r="X264" s="71">
        <f>IFERROR(IF(INDEX(AC$14:AC$18,MATCH($E264,$AB$14:$AB$18,0))&lt;&gt;0,INDEX(AC$14:AC$18,MATCH($E264,$AB$14:$AB$18,0)),
IF($M264="Market",0,IF($L264="HUD FMR",INDEX('Data - Reference'!$B$31:$G$31,MATCH($E264,'Data - Reference'!$B$9:$G$9,0)),INDEX('Data - Reference'!$B$9:$G$31,MATCH($K264,'Data - Reference'!$B$9:$B$31,0),MATCH($E264,'Data - Reference'!$B$9:$G$9,0))))),0)</f>
        <v>0</v>
      </c>
      <c r="Y264" s="71">
        <f>IFERROR(IF(INDEX(AD$14:AD$18,MATCH($E264,$AB$14:$AB$18,0))&lt;&gt;0,INDEX(AD$14:AD$18,MATCH($E264,$AB$14:$AB$18,0)),
IF($K264="None - Market",0,-INDEX('Data - Reference'!$B$32:$G$32,MATCH($E264,'Data - Reference'!$B$9:$G$9,0)))),0)</f>
        <v>0</v>
      </c>
      <c r="Z264" s="74">
        <f t="shared" si="62"/>
        <v>0</v>
      </c>
      <c r="AA264" s="67">
        <f t="shared" si="69"/>
        <v>0</v>
      </c>
      <c r="AB264" s="97">
        <f t="shared" si="70"/>
        <v>0</v>
      </c>
      <c r="AC264" s="82">
        <f t="shared" si="5"/>
        <v>0</v>
      </c>
      <c r="AD264" s="83">
        <f t="shared" si="71"/>
        <v>0</v>
      </c>
      <c r="AE264" s="97">
        <f t="shared" si="72"/>
        <v>0</v>
      </c>
      <c r="AF264" s="415" t="str">
        <f t="shared" si="63"/>
        <v>NA</v>
      </c>
      <c r="AG264" s="420" t="str">
        <f t="shared" si="73"/>
        <v>NA</v>
      </c>
      <c r="AH264" s="420" t="str">
        <f t="shared" si="74"/>
        <v>NA</v>
      </c>
      <c r="AI264" s="417" t="str">
        <f t="shared" si="4"/>
        <v>NA</v>
      </c>
      <c r="AJ264" s="417" t="str">
        <f t="shared" si="75"/>
        <v>NA</v>
      </c>
      <c r="AK264" s="524" t="str">
        <f>IFERROR(INDEX('Legacy Resident Reference'!R:R,MATCH('Unit Summary - Rent Roll'!AJ264,'Legacy Resident Reference'!P:P,0)),"NA")</f>
        <v>NA</v>
      </c>
    </row>
    <row r="265" spans="2:37" ht="13.8" hidden="1" outlineLevel="1" x14ac:dyDescent="0.3">
      <c r="B265" s="236">
        <v>239</v>
      </c>
      <c r="C265" s="580" t="s">
        <v>143</v>
      </c>
      <c r="D265" s="581"/>
      <c r="E265" s="186" t="s">
        <v>139</v>
      </c>
      <c r="F265" s="187">
        <v>0</v>
      </c>
      <c r="G265" s="239" t="s">
        <v>85</v>
      </c>
      <c r="H265" s="243">
        <v>0</v>
      </c>
      <c r="I265" s="373">
        <f t="shared" si="64"/>
        <v>0</v>
      </c>
      <c r="J265" s="250" t="s">
        <v>139</v>
      </c>
      <c r="K265" s="508" t="s">
        <v>139</v>
      </c>
      <c r="L265" s="399" t="s">
        <v>139</v>
      </c>
      <c r="M265" s="403">
        <v>0</v>
      </c>
      <c r="N265" s="282" t="s">
        <v>139</v>
      </c>
      <c r="O265" s="302" t="str">
        <f>IF(OR(M265=0,N265="NA"),"NA",IFERROR(INDEX('Data - Reference'!$B$37:$B$50,MATCH('Unit Summary - Rent Roll'!$M265,INDEX('Data - Reference'!$B$37:$J$50,,MATCH('Unit Summary - Rent Roll'!$N265,'Data - Reference'!$B$37:$J$37,0)),-1),1),"NA"))</f>
        <v>NA</v>
      </c>
      <c r="P265" s="239" t="s">
        <v>85</v>
      </c>
      <c r="Q265" s="239" t="s">
        <v>85</v>
      </c>
      <c r="R265" s="188">
        <v>0</v>
      </c>
      <c r="S265" s="364">
        <f t="shared" si="65"/>
        <v>0</v>
      </c>
      <c r="T265" s="97">
        <f t="shared" si="66"/>
        <v>0</v>
      </c>
      <c r="U265" s="188">
        <v>0</v>
      </c>
      <c r="V265" s="364">
        <f t="shared" si="67"/>
        <v>0</v>
      </c>
      <c r="W265" s="97">
        <f t="shared" si="68"/>
        <v>0</v>
      </c>
      <c r="X265" s="71">
        <f>IFERROR(IF(INDEX(AC$14:AC$18,MATCH($E265,$AB$14:$AB$18,0))&lt;&gt;0,INDEX(AC$14:AC$18,MATCH($E265,$AB$14:$AB$18,0)),
IF($M265="Market",0,IF($L265="HUD FMR",INDEX('Data - Reference'!$B$31:$G$31,MATCH($E265,'Data - Reference'!$B$9:$G$9,0)),INDEX('Data - Reference'!$B$9:$G$31,MATCH($K265,'Data - Reference'!$B$9:$B$31,0),MATCH($E265,'Data - Reference'!$B$9:$G$9,0))))),0)</f>
        <v>0</v>
      </c>
      <c r="Y265" s="71">
        <f>IFERROR(IF(INDEX(AD$14:AD$18,MATCH($E265,$AB$14:$AB$18,0))&lt;&gt;0,INDEX(AD$14:AD$18,MATCH($E265,$AB$14:$AB$18,0)),
IF($K265="None - Market",0,-INDEX('Data - Reference'!$B$32:$G$32,MATCH($E265,'Data - Reference'!$B$9:$G$9,0)))),0)</f>
        <v>0</v>
      </c>
      <c r="Z265" s="74">
        <f t="shared" si="62"/>
        <v>0</v>
      </c>
      <c r="AA265" s="67">
        <f t="shared" si="69"/>
        <v>0</v>
      </c>
      <c r="AB265" s="97">
        <f t="shared" si="70"/>
        <v>0</v>
      </c>
      <c r="AC265" s="82">
        <f t="shared" si="5"/>
        <v>0</v>
      </c>
      <c r="AD265" s="83">
        <f t="shared" si="71"/>
        <v>0</v>
      </c>
      <c r="AE265" s="97">
        <f t="shared" si="72"/>
        <v>0</v>
      </c>
      <c r="AF265" s="415" t="str">
        <f t="shared" si="63"/>
        <v>NA</v>
      </c>
      <c r="AG265" s="420" t="str">
        <f t="shared" si="73"/>
        <v>NA</v>
      </c>
      <c r="AH265" s="420" t="str">
        <f t="shared" si="74"/>
        <v>NA</v>
      </c>
      <c r="AI265" s="417" t="str">
        <f t="shared" si="4"/>
        <v>NA</v>
      </c>
      <c r="AJ265" s="417" t="str">
        <f t="shared" si="75"/>
        <v>NA</v>
      </c>
      <c r="AK265" s="524" t="str">
        <f>IFERROR(INDEX('Legacy Resident Reference'!R:R,MATCH('Unit Summary - Rent Roll'!AJ265,'Legacy Resident Reference'!P:P,0)),"NA")</f>
        <v>NA</v>
      </c>
    </row>
    <row r="266" spans="2:37" ht="13.8" hidden="1" outlineLevel="1" x14ac:dyDescent="0.3">
      <c r="B266" s="236">
        <v>240</v>
      </c>
      <c r="C266" s="580" t="s">
        <v>143</v>
      </c>
      <c r="D266" s="581"/>
      <c r="E266" s="186" t="s">
        <v>139</v>
      </c>
      <c r="F266" s="187">
        <v>0</v>
      </c>
      <c r="G266" s="239" t="s">
        <v>85</v>
      </c>
      <c r="H266" s="243">
        <v>0</v>
      </c>
      <c r="I266" s="373">
        <f t="shared" si="64"/>
        <v>0</v>
      </c>
      <c r="J266" s="250" t="s">
        <v>139</v>
      </c>
      <c r="K266" s="508" t="s">
        <v>139</v>
      </c>
      <c r="L266" s="399" t="s">
        <v>139</v>
      </c>
      <c r="M266" s="403">
        <v>0</v>
      </c>
      <c r="N266" s="282" t="s">
        <v>139</v>
      </c>
      <c r="O266" s="302" t="str">
        <f>IF(OR(M266=0,N266="NA"),"NA",IFERROR(INDEX('Data - Reference'!$B$37:$B$50,MATCH('Unit Summary - Rent Roll'!$M266,INDEX('Data - Reference'!$B$37:$J$50,,MATCH('Unit Summary - Rent Roll'!$N266,'Data - Reference'!$B$37:$J$37,0)),-1),1),"NA"))</f>
        <v>NA</v>
      </c>
      <c r="P266" s="239" t="s">
        <v>85</v>
      </c>
      <c r="Q266" s="239" t="s">
        <v>85</v>
      </c>
      <c r="R266" s="188">
        <v>0</v>
      </c>
      <c r="S266" s="364">
        <f t="shared" si="65"/>
        <v>0</v>
      </c>
      <c r="T266" s="97">
        <f t="shared" si="66"/>
        <v>0</v>
      </c>
      <c r="U266" s="188">
        <v>0</v>
      </c>
      <c r="V266" s="364">
        <f t="shared" si="67"/>
        <v>0</v>
      </c>
      <c r="W266" s="97">
        <f t="shared" si="68"/>
        <v>0</v>
      </c>
      <c r="X266" s="71">
        <f>IFERROR(IF(INDEX(AC$14:AC$18,MATCH($E266,$AB$14:$AB$18,0))&lt;&gt;0,INDEX(AC$14:AC$18,MATCH($E266,$AB$14:$AB$18,0)),
IF($M266="Market",0,IF($L266="HUD FMR",INDEX('Data - Reference'!$B$31:$G$31,MATCH($E266,'Data - Reference'!$B$9:$G$9,0)),INDEX('Data - Reference'!$B$9:$G$31,MATCH($K266,'Data - Reference'!$B$9:$B$31,0),MATCH($E266,'Data - Reference'!$B$9:$G$9,0))))),0)</f>
        <v>0</v>
      </c>
      <c r="Y266" s="71">
        <f>IFERROR(IF(INDEX(AD$14:AD$18,MATCH($E266,$AB$14:$AB$18,0))&lt;&gt;0,INDEX(AD$14:AD$18,MATCH($E266,$AB$14:$AB$18,0)),
IF($K266="None - Market",0,-INDEX('Data - Reference'!$B$32:$G$32,MATCH($E266,'Data - Reference'!$B$9:$G$9,0)))),0)</f>
        <v>0</v>
      </c>
      <c r="Z266" s="74">
        <f t="shared" si="62"/>
        <v>0</v>
      </c>
      <c r="AA266" s="67">
        <f t="shared" si="69"/>
        <v>0</v>
      </c>
      <c r="AB266" s="97">
        <f t="shared" si="70"/>
        <v>0</v>
      </c>
      <c r="AC266" s="82">
        <f t="shared" si="5"/>
        <v>0</v>
      </c>
      <c r="AD266" s="83">
        <f t="shared" si="71"/>
        <v>0</v>
      </c>
      <c r="AE266" s="97">
        <f t="shared" si="72"/>
        <v>0</v>
      </c>
      <c r="AF266" s="415" t="str">
        <f t="shared" si="63"/>
        <v>NA</v>
      </c>
      <c r="AG266" s="420" t="str">
        <f t="shared" si="73"/>
        <v>NA</v>
      </c>
      <c r="AH266" s="420" t="str">
        <f t="shared" si="74"/>
        <v>NA</v>
      </c>
      <c r="AI266" s="417" t="str">
        <f t="shared" si="4"/>
        <v>NA</v>
      </c>
      <c r="AJ266" s="417" t="str">
        <f t="shared" si="75"/>
        <v>NA</v>
      </c>
      <c r="AK266" s="524" t="str">
        <f>IFERROR(INDEX('Legacy Resident Reference'!R:R,MATCH('Unit Summary - Rent Roll'!AJ266,'Legacy Resident Reference'!P:P,0)),"NA")</f>
        <v>NA</v>
      </c>
    </row>
    <row r="267" spans="2:37" ht="13.8" hidden="1" outlineLevel="1" x14ac:dyDescent="0.3">
      <c r="B267" s="236">
        <v>241</v>
      </c>
      <c r="C267" s="580" t="s">
        <v>143</v>
      </c>
      <c r="D267" s="581"/>
      <c r="E267" s="186" t="s">
        <v>139</v>
      </c>
      <c r="F267" s="187">
        <v>0</v>
      </c>
      <c r="G267" s="239" t="s">
        <v>85</v>
      </c>
      <c r="H267" s="243">
        <v>0</v>
      </c>
      <c r="I267" s="373">
        <f t="shared" si="64"/>
        <v>0</v>
      </c>
      <c r="J267" s="250" t="s">
        <v>139</v>
      </c>
      <c r="K267" s="508" t="s">
        <v>139</v>
      </c>
      <c r="L267" s="399" t="s">
        <v>139</v>
      </c>
      <c r="M267" s="403">
        <v>0</v>
      </c>
      <c r="N267" s="282" t="s">
        <v>139</v>
      </c>
      <c r="O267" s="302" t="str">
        <f>IF(OR(M267=0,N267="NA"),"NA",IFERROR(INDEX('Data - Reference'!$B$37:$B$50,MATCH('Unit Summary - Rent Roll'!$M267,INDEX('Data - Reference'!$B$37:$J$50,,MATCH('Unit Summary - Rent Roll'!$N267,'Data - Reference'!$B$37:$J$37,0)),-1),1),"NA"))</f>
        <v>NA</v>
      </c>
      <c r="P267" s="239" t="s">
        <v>85</v>
      </c>
      <c r="Q267" s="239" t="s">
        <v>85</v>
      </c>
      <c r="R267" s="188">
        <v>0</v>
      </c>
      <c r="S267" s="364">
        <f t="shared" si="65"/>
        <v>0</v>
      </c>
      <c r="T267" s="97">
        <f t="shared" si="66"/>
        <v>0</v>
      </c>
      <c r="U267" s="188">
        <v>0</v>
      </c>
      <c r="V267" s="364">
        <f t="shared" si="67"/>
        <v>0</v>
      </c>
      <c r="W267" s="97">
        <f t="shared" si="68"/>
        <v>0</v>
      </c>
      <c r="X267" s="71">
        <f>IFERROR(IF(INDEX(AC$14:AC$18,MATCH($E267,$AB$14:$AB$18,0))&lt;&gt;0,INDEX(AC$14:AC$18,MATCH($E267,$AB$14:$AB$18,0)),
IF($M267="Market",0,IF($L267="HUD FMR",INDEX('Data - Reference'!$B$31:$G$31,MATCH($E267,'Data - Reference'!$B$9:$G$9,0)),INDEX('Data - Reference'!$B$9:$G$31,MATCH($K267,'Data - Reference'!$B$9:$B$31,0),MATCH($E267,'Data - Reference'!$B$9:$G$9,0))))),0)</f>
        <v>0</v>
      </c>
      <c r="Y267" s="71">
        <f>IFERROR(IF(INDEX(AD$14:AD$18,MATCH($E267,$AB$14:$AB$18,0))&lt;&gt;0,INDEX(AD$14:AD$18,MATCH($E267,$AB$14:$AB$18,0)),
IF($K267="None - Market",0,-INDEX('Data - Reference'!$B$32:$G$32,MATCH($E267,'Data - Reference'!$B$9:$G$9,0)))),0)</f>
        <v>0</v>
      </c>
      <c r="Z267" s="74">
        <f t="shared" si="62"/>
        <v>0</v>
      </c>
      <c r="AA267" s="67">
        <f t="shared" si="69"/>
        <v>0</v>
      </c>
      <c r="AB267" s="97">
        <f t="shared" si="70"/>
        <v>0</v>
      </c>
      <c r="AC267" s="82">
        <f t="shared" si="5"/>
        <v>0</v>
      </c>
      <c r="AD267" s="83">
        <f t="shared" si="71"/>
        <v>0</v>
      </c>
      <c r="AE267" s="97">
        <f t="shared" si="72"/>
        <v>0</v>
      </c>
      <c r="AF267" s="415" t="str">
        <f t="shared" si="63"/>
        <v>NA</v>
      </c>
      <c r="AG267" s="420" t="str">
        <f t="shared" si="73"/>
        <v>NA</v>
      </c>
      <c r="AH267" s="420" t="str">
        <f t="shared" si="74"/>
        <v>NA</v>
      </c>
      <c r="AI267" s="417" t="str">
        <f t="shared" si="4"/>
        <v>NA</v>
      </c>
      <c r="AJ267" s="417" t="str">
        <f t="shared" si="75"/>
        <v>NA</v>
      </c>
      <c r="AK267" s="524" t="str">
        <f>IFERROR(INDEX('Legacy Resident Reference'!R:R,MATCH('Unit Summary - Rent Roll'!AJ267,'Legacy Resident Reference'!P:P,0)),"NA")</f>
        <v>NA</v>
      </c>
    </row>
    <row r="268" spans="2:37" ht="13.8" hidden="1" outlineLevel="1" x14ac:dyDescent="0.3">
      <c r="B268" s="236">
        <v>242</v>
      </c>
      <c r="C268" s="580" t="s">
        <v>143</v>
      </c>
      <c r="D268" s="581"/>
      <c r="E268" s="186" t="s">
        <v>139</v>
      </c>
      <c r="F268" s="187">
        <v>0</v>
      </c>
      <c r="G268" s="239" t="s">
        <v>85</v>
      </c>
      <c r="H268" s="243">
        <v>0</v>
      </c>
      <c r="I268" s="373">
        <f t="shared" si="64"/>
        <v>0</v>
      </c>
      <c r="J268" s="250" t="s">
        <v>139</v>
      </c>
      <c r="K268" s="508" t="s">
        <v>139</v>
      </c>
      <c r="L268" s="399" t="s">
        <v>139</v>
      </c>
      <c r="M268" s="403">
        <v>0</v>
      </c>
      <c r="N268" s="282" t="s">
        <v>139</v>
      </c>
      <c r="O268" s="302" t="str">
        <f>IF(OR(M268=0,N268="NA"),"NA",IFERROR(INDEX('Data - Reference'!$B$37:$B$50,MATCH('Unit Summary - Rent Roll'!$M268,INDEX('Data - Reference'!$B$37:$J$50,,MATCH('Unit Summary - Rent Roll'!$N268,'Data - Reference'!$B$37:$J$37,0)),-1),1),"NA"))</f>
        <v>NA</v>
      </c>
      <c r="P268" s="239" t="s">
        <v>85</v>
      </c>
      <c r="Q268" s="239" t="s">
        <v>85</v>
      </c>
      <c r="R268" s="188">
        <v>0</v>
      </c>
      <c r="S268" s="364">
        <f t="shared" si="65"/>
        <v>0</v>
      </c>
      <c r="T268" s="97">
        <f t="shared" si="66"/>
        <v>0</v>
      </c>
      <c r="U268" s="188">
        <v>0</v>
      </c>
      <c r="V268" s="364">
        <f t="shared" si="67"/>
        <v>0</v>
      </c>
      <c r="W268" s="97">
        <f t="shared" si="68"/>
        <v>0</v>
      </c>
      <c r="X268" s="71">
        <f>IFERROR(IF(INDEX(AC$14:AC$18,MATCH($E268,$AB$14:$AB$18,0))&lt;&gt;0,INDEX(AC$14:AC$18,MATCH($E268,$AB$14:$AB$18,0)),
IF($M268="Market",0,IF($L268="HUD FMR",INDEX('Data - Reference'!$B$31:$G$31,MATCH($E268,'Data - Reference'!$B$9:$G$9,0)),INDEX('Data - Reference'!$B$9:$G$31,MATCH($K268,'Data - Reference'!$B$9:$B$31,0),MATCH($E268,'Data - Reference'!$B$9:$G$9,0))))),0)</f>
        <v>0</v>
      </c>
      <c r="Y268" s="71">
        <f>IFERROR(IF(INDEX(AD$14:AD$18,MATCH($E268,$AB$14:$AB$18,0))&lt;&gt;0,INDEX(AD$14:AD$18,MATCH($E268,$AB$14:$AB$18,0)),
IF($K268="None - Market",0,-INDEX('Data - Reference'!$B$32:$G$32,MATCH($E268,'Data - Reference'!$B$9:$G$9,0)))),0)</f>
        <v>0</v>
      </c>
      <c r="Z268" s="74">
        <f t="shared" si="62"/>
        <v>0</v>
      </c>
      <c r="AA268" s="67">
        <f t="shared" si="69"/>
        <v>0</v>
      </c>
      <c r="AB268" s="97">
        <f t="shared" si="70"/>
        <v>0</v>
      </c>
      <c r="AC268" s="82">
        <f t="shared" si="5"/>
        <v>0</v>
      </c>
      <c r="AD268" s="83">
        <f t="shared" si="71"/>
        <v>0</v>
      </c>
      <c r="AE268" s="97">
        <f t="shared" si="72"/>
        <v>0</v>
      </c>
      <c r="AF268" s="415" t="str">
        <f t="shared" si="63"/>
        <v>NA</v>
      </c>
      <c r="AG268" s="420" t="str">
        <f t="shared" si="73"/>
        <v>NA</v>
      </c>
      <c r="AH268" s="420" t="str">
        <f t="shared" si="74"/>
        <v>NA</v>
      </c>
      <c r="AI268" s="417" t="str">
        <f t="shared" si="4"/>
        <v>NA</v>
      </c>
      <c r="AJ268" s="417" t="str">
        <f t="shared" si="75"/>
        <v>NA</v>
      </c>
      <c r="AK268" s="524" t="str">
        <f>IFERROR(INDEX('Legacy Resident Reference'!R:R,MATCH('Unit Summary - Rent Roll'!AJ268,'Legacy Resident Reference'!P:P,0)),"NA")</f>
        <v>NA</v>
      </c>
    </row>
    <row r="269" spans="2:37" ht="13.8" hidden="1" outlineLevel="1" x14ac:dyDescent="0.3">
      <c r="B269" s="236">
        <v>243</v>
      </c>
      <c r="C269" s="580" t="s">
        <v>143</v>
      </c>
      <c r="D269" s="581"/>
      <c r="E269" s="186" t="s">
        <v>139</v>
      </c>
      <c r="F269" s="187">
        <v>0</v>
      </c>
      <c r="G269" s="239" t="s">
        <v>85</v>
      </c>
      <c r="H269" s="243">
        <v>0</v>
      </c>
      <c r="I269" s="373">
        <f t="shared" si="64"/>
        <v>0</v>
      </c>
      <c r="J269" s="250" t="s">
        <v>139</v>
      </c>
      <c r="K269" s="508" t="s">
        <v>139</v>
      </c>
      <c r="L269" s="399" t="s">
        <v>139</v>
      </c>
      <c r="M269" s="403">
        <v>0</v>
      </c>
      <c r="N269" s="282" t="s">
        <v>139</v>
      </c>
      <c r="O269" s="302" t="str">
        <f>IF(OR(M269=0,N269="NA"),"NA",IFERROR(INDEX('Data - Reference'!$B$37:$B$50,MATCH('Unit Summary - Rent Roll'!$M269,INDEX('Data - Reference'!$B$37:$J$50,,MATCH('Unit Summary - Rent Roll'!$N269,'Data - Reference'!$B$37:$J$37,0)),-1),1),"NA"))</f>
        <v>NA</v>
      </c>
      <c r="P269" s="239" t="s">
        <v>85</v>
      </c>
      <c r="Q269" s="239" t="s">
        <v>85</v>
      </c>
      <c r="R269" s="188">
        <v>0</v>
      </c>
      <c r="S269" s="364">
        <f t="shared" si="65"/>
        <v>0</v>
      </c>
      <c r="T269" s="97">
        <f t="shared" si="66"/>
        <v>0</v>
      </c>
      <c r="U269" s="188">
        <v>0</v>
      </c>
      <c r="V269" s="364">
        <f t="shared" si="67"/>
        <v>0</v>
      </c>
      <c r="W269" s="97">
        <f t="shared" si="68"/>
        <v>0</v>
      </c>
      <c r="X269" s="71">
        <f>IFERROR(IF(INDEX(AC$14:AC$18,MATCH($E269,$AB$14:$AB$18,0))&lt;&gt;0,INDEX(AC$14:AC$18,MATCH($E269,$AB$14:$AB$18,0)),
IF($M269="Market",0,IF($L269="HUD FMR",INDEX('Data - Reference'!$B$31:$G$31,MATCH($E269,'Data - Reference'!$B$9:$G$9,0)),INDEX('Data - Reference'!$B$9:$G$31,MATCH($K269,'Data - Reference'!$B$9:$B$31,0),MATCH($E269,'Data - Reference'!$B$9:$G$9,0))))),0)</f>
        <v>0</v>
      </c>
      <c r="Y269" s="71">
        <f>IFERROR(IF(INDEX(AD$14:AD$18,MATCH($E269,$AB$14:$AB$18,0))&lt;&gt;0,INDEX(AD$14:AD$18,MATCH($E269,$AB$14:$AB$18,0)),
IF($K269="None - Market",0,-INDEX('Data - Reference'!$B$32:$G$32,MATCH($E269,'Data - Reference'!$B$9:$G$9,0)))),0)</f>
        <v>0</v>
      </c>
      <c r="Z269" s="74">
        <f t="shared" si="62"/>
        <v>0</v>
      </c>
      <c r="AA269" s="67">
        <f t="shared" si="69"/>
        <v>0</v>
      </c>
      <c r="AB269" s="97">
        <f t="shared" si="70"/>
        <v>0</v>
      </c>
      <c r="AC269" s="82">
        <f t="shared" si="5"/>
        <v>0</v>
      </c>
      <c r="AD269" s="83">
        <f t="shared" si="71"/>
        <v>0</v>
      </c>
      <c r="AE269" s="97">
        <f t="shared" si="72"/>
        <v>0</v>
      </c>
      <c r="AF269" s="415" t="str">
        <f t="shared" si="63"/>
        <v>NA</v>
      </c>
      <c r="AG269" s="420" t="str">
        <f t="shared" si="73"/>
        <v>NA</v>
      </c>
      <c r="AH269" s="420" t="str">
        <f t="shared" si="74"/>
        <v>NA</v>
      </c>
      <c r="AI269" s="417" t="str">
        <f t="shared" si="4"/>
        <v>NA</v>
      </c>
      <c r="AJ269" s="417" t="str">
        <f t="shared" si="75"/>
        <v>NA</v>
      </c>
      <c r="AK269" s="524" t="str">
        <f>IFERROR(INDEX('Legacy Resident Reference'!R:R,MATCH('Unit Summary - Rent Roll'!AJ269,'Legacy Resident Reference'!P:P,0)),"NA")</f>
        <v>NA</v>
      </c>
    </row>
    <row r="270" spans="2:37" ht="13.8" hidden="1" outlineLevel="1" x14ac:dyDescent="0.3">
      <c r="B270" s="236">
        <v>244</v>
      </c>
      <c r="C270" s="580" t="s">
        <v>143</v>
      </c>
      <c r="D270" s="581"/>
      <c r="E270" s="186" t="s">
        <v>139</v>
      </c>
      <c r="F270" s="187">
        <v>0</v>
      </c>
      <c r="G270" s="239" t="s">
        <v>85</v>
      </c>
      <c r="H270" s="243">
        <v>0</v>
      </c>
      <c r="I270" s="373">
        <f t="shared" si="64"/>
        <v>0</v>
      </c>
      <c r="J270" s="250" t="s">
        <v>139</v>
      </c>
      <c r="K270" s="508" t="s">
        <v>139</v>
      </c>
      <c r="L270" s="399" t="s">
        <v>139</v>
      </c>
      <c r="M270" s="403">
        <v>0</v>
      </c>
      <c r="N270" s="282" t="s">
        <v>139</v>
      </c>
      <c r="O270" s="302" t="str">
        <f>IF(OR(M270=0,N270="NA"),"NA",IFERROR(INDEX('Data - Reference'!$B$37:$B$50,MATCH('Unit Summary - Rent Roll'!$M270,INDEX('Data - Reference'!$B$37:$J$50,,MATCH('Unit Summary - Rent Roll'!$N270,'Data - Reference'!$B$37:$J$37,0)),-1),1),"NA"))</f>
        <v>NA</v>
      </c>
      <c r="P270" s="239" t="s">
        <v>85</v>
      </c>
      <c r="Q270" s="239" t="s">
        <v>85</v>
      </c>
      <c r="R270" s="188">
        <v>0</v>
      </c>
      <c r="S270" s="364">
        <f t="shared" si="65"/>
        <v>0</v>
      </c>
      <c r="T270" s="97">
        <f t="shared" si="66"/>
        <v>0</v>
      </c>
      <c r="U270" s="188">
        <v>0</v>
      </c>
      <c r="V270" s="364">
        <f t="shared" si="67"/>
        <v>0</v>
      </c>
      <c r="W270" s="97">
        <f t="shared" si="68"/>
        <v>0</v>
      </c>
      <c r="X270" s="71">
        <f>IFERROR(IF(INDEX(AC$14:AC$18,MATCH($E270,$AB$14:$AB$18,0))&lt;&gt;0,INDEX(AC$14:AC$18,MATCH($E270,$AB$14:$AB$18,0)),
IF($M270="Market",0,IF($L270="HUD FMR",INDEX('Data - Reference'!$B$31:$G$31,MATCH($E270,'Data - Reference'!$B$9:$G$9,0)),INDEX('Data - Reference'!$B$9:$G$31,MATCH($K270,'Data - Reference'!$B$9:$B$31,0),MATCH($E270,'Data - Reference'!$B$9:$G$9,0))))),0)</f>
        <v>0</v>
      </c>
      <c r="Y270" s="71">
        <f>IFERROR(IF(INDEX(AD$14:AD$18,MATCH($E270,$AB$14:$AB$18,0))&lt;&gt;0,INDEX(AD$14:AD$18,MATCH($E270,$AB$14:$AB$18,0)),
IF($K270="None - Market",0,-INDEX('Data - Reference'!$B$32:$G$32,MATCH($E270,'Data - Reference'!$B$9:$G$9,0)))),0)</f>
        <v>0</v>
      </c>
      <c r="Z270" s="74">
        <f t="shared" si="62"/>
        <v>0</v>
      </c>
      <c r="AA270" s="67">
        <f t="shared" si="69"/>
        <v>0</v>
      </c>
      <c r="AB270" s="97">
        <f t="shared" si="70"/>
        <v>0</v>
      </c>
      <c r="AC270" s="82">
        <f t="shared" si="5"/>
        <v>0</v>
      </c>
      <c r="AD270" s="83">
        <f t="shared" si="71"/>
        <v>0</v>
      </c>
      <c r="AE270" s="97">
        <f t="shared" si="72"/>
        <v>0</v>
      </c>
      <c r="AF270" s="415" t="str">
        <f t="shared" si="63"/>
        <v>NA</v>
      </c>
      <c r="AG270" s="420" t="str">
        <f t="shared" si="73"/>
        <v>NA</v>
      </c>
      <c r="AH270" s="420" t="str">
        <f t="shared" si="74"/>
        <v>NA</v>
      </c>
      <c r="AI270" s="417" t="str">
        <f t="shared" si="4"/>
        <v>NA</v>
      </c>
      <c r="AJ270" s="417" t="str">
        <f t="shared" si="75"/>
        <v>NA</v>
      </c>
      <c r="AK270" s="524" t="str">
        <f>IFERROR(INDEX('Legacy Resident Reference'!R:R,MATCH('Unit Summary - Rent Roll'!AJ270,'Legacy Resident Reference'!P:P,0)),"NA")</f>
        <v>NA</v>
      </c>
    </row>
    <row r="271" spans="2:37" ht="13.8" hidden="1" outlineLevel="1" x14ac:dyDescent="0.3">
      <c r="B271" s="236">
        <v>245</v>
      </c>
      <c r="C271" s="580" t="s">
        <v>143</v>
      </c>
      <c r="D271" s="581"/>
      <c r="E271" s="186" t="s">
        <v>139</v>
      </c>
      <c r="F271" s="187">
        <v>0</v>
      </c>
      <c r="G271" s="239" t="s">
        <v>85</v>
      </c>
      <c r="H271" s="243">
        <v>0</v>
      </c>
      <c r="I271" s="373">
        <f t="shared" si="64"/>
        <v>0</v>
      </c>
      <c r="J271" s="250" t="s">
        <v>139</v>
      </c>
      <c r="K271" s="508" t="s">
        <v>139</v>
      </c>
      <c r="L271" s="399" t="s">
        <v>139</v>
      </c>
      <c r="M271" s="403">
        <v>0</v>
      </c>
      <c r="N271" s="282" t="s">
        <v>139</v>
      </c>
      <c r="O271" s="302" t="str">
        <f>IF(OR(M271=0,N271="NA"),"NA",IFERROR(INDEX('Data - Reference'!$B$37:$B$50,MATCH('Unit Summary - Rent Roll'!$M271,INDEX('Data - Reference'!$B$37:$J$50,,MATCH('Unit Summary - Rent Roll'!$N271,'Data - Reference'!$B$37:$J$37,0)),-1),1),"NA"))</f>
        <v>NA</v>
      </c>
      <c r="P271" s="239" t="s">
        <v>85</v>
      </c>
      <c r="Q271" s="239" t="s">
        <v>85</v>
      </c>
      <c r="R271" s="188">
        <v>0</v>
      </c>
      <c r="S271" s="364">
        <f t="shared" si="65"/>
        <v>0</v>
      </c>
      <c r="T271" s="97">
        <f t="shared" si="66"/>
        <v>0</v>
      </c>
      <c r="U271" s="188">
        <v>0</v>
      </c>
      <c r="V271" s="364">
        <f t="shared" si="67"/>
        <v>0</v>
      </c>
      <c r="W271" s="97">
        <f t="shared" si="68"/>
        <v>0</v>
      </c>
      <c r="X271" s="71">
        <f>IFERROR(IF(INDEX(AC$14:AC$18,MATCH($E271,$AB$14:$AB$18,0))&lt;&gt;0,INDEX(AC$14:AC$18,MATCH($E271,$AB$14:$AB$18,0)),
IF($M271="Market",0,IF($L271="HUD FMR",INDEX('Data - Reference'!$B$31:$G$31,MATCH($E271,'Data - Reference'!$B$9:$G$9,0)),INDEX('Data - Reference'!$B$9:$G$31,MATCH($K271,'Data - Reference'!$B$9:$B$31,0),MATCH($E271,'Data - Reference'!$B$9:$G$9,0))))),0)</f>
        <v>0</v>
      </c>
      <c r="Y271" s="71">
        <f>IFERROR(IF(INDEX(AD$14:AD$18,MATCH($E271,$AB$14:$AB$18,0))&lt;&gt;0,INDEX(AD$14:AD$18,MATCH($E271,$AB$14:$AB$18,0)),
IF($K271="None - Market",0,-INDEX('Data - Reference'!$B$32:$G$32,MATCH($E271,'Data - Reference'!$B$9:$G$9,0)))),0)</f>
        <v>0</v>
      </c>
      <c r="Z271" s="74">
        <f t="shared" si="62"/>
        <v>0</v>
      </c>
      <c r="AA271" s="67">
        <f t="shared" si="69"/>
        <v>0</v>
      </c>
      <c r="AB271" s="97">
        <f t="shared" si="70"/>
        <v>0</v>
      </c>
      <c r="AC271" s="82">
        <f t="shared" si="5"/>
        <v>0</v>
      </c>
      <c r="AD271" s="83">
        <f t="shared" si="71"/>
        <v>0</v>
      </c>
      <c r="AE271" s="97">
        <f t="shared" si="72"/>
        <v>0</v>
      </c>
      <c r="AF271" s="415" t="str">
        <f t="shared" si="63"/>
        <v>NA</v>
      </c>
      <c r="AG271" s="420" t="str">
        <f t="shared" si="73"/>
        <v>NA</v>
      </c>
      <c r="AH271" s="420" t="str">
        <f t="shared" si="74"/>
        <v>NA</v>
      </c>
      <c r="AI271" s="417" t="str">
        <f t="shared" si="4"/>
        <v>NA</v>
      </c>
      <c r="AJ271" s="417" t="str">
        <f t="shared" si="75"/>
        <v>NA</v>
      </c>
      <c r="AK271" s="524" t="str">
        <f>IFERROR(INDEX('Legacy Resident Reference'!R:R,MATCH('Unit Summary - Rent Roll'!AJ271,'Legacy Resident Reference'!P:P,0)),"NA")</f>
        <v>NA</v>
      </c>
    </row>
    <row r="272" spans="2:37" ht="13.8" hidden="1" outlineLevel="1" x14ac:dyDescent="0.3">
      <c r="B272" s="236">
        <v>246</v>
      </c>
      <c r="C272" s="580" t="s">
        <v>143</v>
      </c>
      <c r="D272" s="581"/>
      <c r="E272" s="186" t="s">
        <v>139</v>
      </c>
      <c r="F272" s="187">
        <v>0</v>
      </c>
      <c r="G272" s="239" t="s">
        <v>85</v>
      </c>
      <c r="H272" s="243">
        <v>0</v>
      </c>
      <c r="I272" s="373">
        <f t="shared" si="64"/>
        <v>0</v>
      </c>
      <c r="J272" s="250" t="s">
        <v>139</v>
      </c>
      <c r="K272" s="508" t="s">
        <v>139</v>
      </c>
      <c r="L272" s="399" t="s">
        <v>139</v>
      </c>
      <c r="M272" s="403">
        <v>0</v>
      </c>
      <c r="N272" s="282" t="s">
        <v>139</v>
      </c>
      <c r="O272" s="302" t="str">
        <f>IF(OR(M272=0,N272="NA"),"NA",IFERROR(INDEX('Data - Reference'!$B$37:$B$50,MATCH('Unit Summary - Rent Roll'!$M272,INDEX('Data - Reference'!$B$37:$J$50,,MATCH('Unit Summary - Rent Roll'!$N272,'Data - Reference'!$B$37:$J$37,0)),-1),1),"NA"))</f>
        <v>NA</v>
      </c>
      <c r="P272" s="239" t="s">
        <v>85</v>
      </c>
      <c r="Q272" s="239" t="s">
        <v>85</v>
      </c>
      <c r="R272" s="188">
        <v>0</v>
      </c>
      <c r="S272" s="364">
        <f t="shared" si="65"/>
        <v>0</v>
      </c>
      <c r="T272" s="97">
        <f t="shared" si="66"/>
        <v>0</v>
      </c>
      <c r="U272" s="188">
        <v>0</v>
      </c>
      <c r="V272" s="364">
        <f t="shared" si="67"/>
        <v>0</v>
      </c>
      <c r="W272" s="97">
        <f t="shared" si="68"/>
        <v>0</v>
      </c>
      <c r="X272" s="71">
        <f>IFERROR(IF(INDEX(AC$14:AC$18,MATCH($E272,$AB$14:$AB$18,0))&lt;&gt;0,INDEX(AC$14:AC$18,MATCH($E272,$AB$14:$AB$18,0)),
IF($M272="Market",0,IF($L272="HUD FMR",INDEX('Data - Reference'!$B$31:$G$31,MATCH($E272,'Data - Reference'!$B$9:$G$9,0)),INDEX('Data - Reference'!$B$9:$G$31,MATCH($K272,'Data - Reference'!$B$9:$B$31,0),MATCH($E272,'Data - Reference'!$B$9:$G$9,0))))),0)</f>
        <v>0</v>
      </c>
      <c r="Y272" s="71">
        <f>IFERROR(IF(INDEX(AD$14:AD$18,MATCH($E272,$AB$14:$AB$18,0))&lt;&gt;0,INDEX(AD$14:AD$18,MATCH($E272,$AB$14:$AB$18,0)),
IF($K272="None - Market",0,-INDEX('Data - Reference'!$B$32:$G$32,MATCH($E272,'Data - Reference'!$B$9:$G$9,0)))),0)</f>
        <v>0</v>
      </c>
      <c r="Z272" s="74">
        <f t="shared" si="62"/>
        <v>0</v>
      </c>
      <c r="AA272" s="67">
        <f t="shared" si="69"/>
        <v>0</v>
      </c>
      <c r="AB272" s="97">
        <f t="shared" si="70"/>
        <v>0</v>
      </c>
      <c r="AC272" s="82">
        <f t="shared" si="5"/>
        <v>0</v>
      </c>
      <c r="AD272" s="83">
        <f t="shared" si="71"/>
        <v>0</v>
      </c>
      <c r="AE272" s="97">
        <f t="shared" si="72"/>
        <v>0</v>
      </c>
      <c r="AF272" s="415" t="str">
        <f t="shared" si="63"/>
        <v>NA</v>
      </c>
      <c r="AG272" s="420" t="str">
        <f t="shared" si="73"/>
        <v>NA</v>
      </c>
      <c r="AH272" s="420" t="str">
        <f t="shared" si="74"/>
        <v>NA</v>
      </c>
      <c r="AI272" s="417" t="str">
        <f t="shared" si="4"/>
        <v>NA</v>
      </c>
      <c r="AJ272" s="417" t="str">
        <f t="shared" si="75"/>
        <v>NA</v>
      </c>
      <c r="AK272" s="524" t="str">
        <f>IFERROR(INDEX('Legacy Resident Reference'!R:R,MATCH('Unit Summary - Rent Roll'!AJ272,'Legacy Resident Reference'!P:P,0)),"NA")</f>
        <v>NA</v>
      </c>
    </row>
    <row r="273" spans="2:37" ht="13.8" hidden="1" outlineLevel="1" x14ac:dyDescent="0.3">
      <c r="B273" s="236">
        <v>247</v>
      </c>
      <c r="C273" s="580" t="s">
        <v>143</v>
      </c>
      <c r="D273" s="581"/>
      <c r="E273" s="186" t="s">
        <v>139</v>
      </c>
      <c r="F273" s="187">
        <v>0</v>
      </c>
      <c r="G273" s="239" t="s">
        <v>85</v>
      </c>
      <c r="H273" s="243">
        <v>0</v>
      </c>
      <c r="I273" s="373">
        <f t="shared" si="64"/>
        <v>0</v>
      </c>
      <c r="J273" s="250" t="s">
        <v>139</v>
      </c>
      <c r="K273" s="508" t="s">
        <v>139</v>
      </c>
      <c r="L273" s="399" t="s">
        <v>139</v>
      </c>
      <c r="M273" s="403">
        <v>0</v>
      </c>
      <c r="N273" s="282" t="s">
        <v>139</v>
      </c>
      <c r="O273" s="302" t="str">
        <f>IF(OR(M273=0,N273="NA"),"NA",IFERROR(INDEX('Data - Reference'!$B$37:$B$50,MATCH('Unit Summary - Rent Roll'!$M273,INDEX('Data - Reference'!$B$37:$J$50,,MATCH('Unit Summary - Rent Roll'!$N273,'Data - Reference'!$B$37:$J$37,0)),-1),1),"NA"))</f>
        <v>NA</v>
      </c>
      <c r="P273" s="239" t="s">
        <v>85</v>
      </c>
      <c r="Q273" s="239" t="s">
        <v>85</v>
      </c>
      <c r="R273" s="188">
        <v>0</v>
      </c>
      <c r="S273" s="364">
        <f t="shared" si="65"/>
        <v>0</v>
      </c>
      <c r="T273" s="97">
        <f t="shared" si="66"/>
        <v>0</v>
      </c>
      <c r="U273" s="188">
        <v>0</v>
      </c>
      <c r="V273" s="364">
        <f t="shared" si="67"/>
        <v>0</v>
      </c>
      <c r="W273" s="97">
        <f t="shared" si="68"/>
        <v>0</v>
      </c>
      <c r="X273" s="71">
        <f>IFERROR(IF(INDEX(AC$14:AC$18,MATCH($E273,$AB$14:$AB$18,0))&lt;&gt;0,INDEX(AC$14:AC$18,MATCH($E273,$AB$14:$AB$18,0)),
IF($M273="Market",0,IF($L273="HUD FMR",INDEX('Data - Reference'!$B$31:$G$31,MATCH($E273,'Data - Reference'!$B$9:$G$9,0)),INDEX('Data - Reference'!$B$9:$G$31,MATCH($K273,'Data - Reference'!$B$9:$B$31,0),MATCH($E273,'Data - Reference'!$B$9:$G$9,0))))),0)</f>
        <v>0</v>
      </c>
      <c r="Y273" s="71">
        <f>IFERROR(IF(INDEX(AD$14:AD$18,MATCH($E273,$AB$14:$AB$18,0))&lt;&gt;0,INDEX(AD$14:AD$18,MATCH($E273,$AB$14:$AB$18,0)),
IF($K273="None - Market",0,-INDEX('Data - Reference'!$B$32:$G$32,MATCH($E273,'Data - Reference'!$B$9:$G$9,0)))),0)</f>
        <v>0</v>
      </c>
      <c r="Z273" s="74">
        <f t="shared" si="62"/>
        <v>0</v>
      </c>
      <c r="AA273" s="67">
        <f t="shared" si="69"/>
        <v>0</v>
      </c>
      <c r="AB273" s="97">
        <f t="shared" si="70"/>
        <v>0</v>
      </c>
      <c r="AC273" s="82">
        <f t="shared" si="5"/>
        <v>0</v>
      </c>
      <c r="AD273" s="83">
        <f t="shared" si="71"/>
        <v>0</v>
      </c>
      <c r="AE273" s="97">
        <f t="shared" si="72"/>
        <v>0</v>
      </c>
      <c r="AF273" s="415" t="str">
        <f t="shared" si="63"/>
        <v>NA</v>
      </c>
      <c r="AG273" s="420" t="str">
        <f t="shared" si="73"/>
        <v>NA</v>
      </c>
      <c r="AH273" s="420" t="str">
        <f t="shared" si="74"/>
        <v>NA</v>
      </c>
      <c r="AI273" s="417" t="str">
        <f t="shared" si="4"/>
        <v>NA</v>
      </c>
      <c r="AJ273" s="417" t="str">
        <f t="shared" si="75"/>
        <v>NA</v>
      </c>
      <c r="AK273" s="524" t="str">
        <f>IFERROR(INDEX('Legacy Resident Reference'!R:R,MATCH('Unit Summary - Rent Roll'!AJ273,'Legacy Resident Reference'!P:P,0)),"NA")</f>
        <v>NA</v>
      </c>
    </row>
    <row r="274" spans="2:37" ht="13.8" hidden="1" outlineLevel="1" x14ac:dyDescent="0.3">
      <c r="B274" s="236">
        <v>248</v>
      </c>
      <c r="C274" s="580" t="s">
        <v>143</v>
      </c>
      <c r="D274" s="581"/>
      <c r="E274" s="186" t="s">
        <v>139</v>
      </c>
      <c r="F274" s="187">
        <v>0</v>
      </c>
      <c r="G274" s="239" t="s">
        <v>85</v>
      </c>
      <c r="H274" s="243">
        <v>0</v>
      </c>
      <c r="I274" s="373">
        <f t="shared" si="64"/>
        <v>0</v>
      </c>
      <c r="J274" s="250" t="s">
        <v>139</v>
      </c>
      <c r="K274" s="508" t="s">
        <v>139</v>
      </c>
      <c r="L274" s="399" t="s">
        <v>139</v>
      </c>
      <c r="M274" s="403">
        <v>0</v>
      </c>
      <c r="N274" s="282" t="s">
        <v>139</v>
      </c>
      <c r="O274" s="302" t="str">
        <f>IF(OR(M274=0,N274="NA"),"NA",IFERROR(INDEX('Data - Reference'!$B$37:$B$50,MATCH('Unit Summary - Rent Roll'!$M274,INDEX('Data - Reference'!$B$37:$J$50,,MATCH('Unit Summary - Rent Roll'!$N274,'Data - Reference'!$B$37:$J$37,0)),-1),1),"NA"))</f>
        <v>NA</v>
      </c>
      <c r="P274" s="239" t="s">
        <v>85</v>
      </c>
      <c r="Q274" s="239" t="s">
        <v>85</v>
      </c>
      <c r="R274" s="188">
        <v>0</v>
      </c>
      <c r="S274" s="364">
        <f t="shared" si="65"/>
        <v>0</v>
      </c>
      <c r="T274" s="97">
        <f t="shared" si="66"/>
        <v>0</v>
      </c>
      <c r="U274" s="188">
        <v>0</v>
      </c>
      <c r="V274" s="364">
        <f t="shared" si="67"/>
        <v>0</v>
      </c>
      <c r="W274" s="97">
        <f t="shared" si="68"/>
        <v>0</v>
      </c>
      <c r="X274" s="71">
        <f>IFERROR(IF(INDEX(AC$14:AC$18,MATCH($E274,$AB$14:$AB$18,0))&lt;&gt;0,INDEX(AC$14:AC$18,MATCH($E274,$AB$14:$AB$18,0)),
IF($M274="Market",0,IF($L274="HUD FMR",INDEX('Data - Reference'!$B$31:$G$31,MATCH($E274,'Data - Reference'!$B$9:$G$9,0)),INDEX('Data - Reference'!$B$9:$G$31,MATCH($K274,'Data - Reference'!$B$9:$B$31,0),MATCH($E274,'Data - Reference'!$B$9:$G$9,0))))),0)</f>
        <v>0</v>
      </c>
      <c r="Y274" s="71">
        <f>IFERROR(IF(INDEX(AD$14:AD$18,MATCH($E274,$AB$14:$AB$18,0))&lt;&gt;0,INDEX(AD$14:AD$18,MATCH($E274,$AB$14:$AB$18,0)),
IF($K274="None - Market",0,-INDEX('Data - Reference'!$B$32:$G$32,MATCH($E274,'Data - Reference'!$B$9:$G$9,0)))),0)</f>
        <v>0</v>
      </c>
      <c r="Z274" s="74">
        <f t="shared" si="62"/>
        <v>0</v>
      </c>
      <c r="AA274" s="67">
        <f t="shared" si="69"/>
        <v>0</v>
      </c>
      <c r="AB274" s="97">
        <f t="shared" si="70"/>
        <v>0</v>
      </c>
      <c r="AC274" s="82">
        <f t="shared" si="5"/>
        <v>0</v>
      </c>
      <c r="AD274" s="83">
        <f t="shared" si="71"/>
        <v>0</v>
      </c>
      <c r="AE274" s="97">
        <f t="shared" si="72"/>
        <v>0</v>
      </c>
      <c r="AF274" s="415" t="str">
        <f t="shared" si="63"/>
        <v>NA</v>
      </c>
      <c r="AG274" s="420" t="str">
        <f t="shared" si="73"/>
        <v>NA</v>
      </c>
      <c r="AH274" s="420" t="str">
        <f t="shared" si="74"/>
        <v>NA</v>
      </c>
      <c r="AI274" s="417" t="str">
        <f t="shared" si="4"/>
        <v>NA</v>
      </c>
      <c r="AJ274" s="417" t="str">
        <f t="shared" si="75"/>
        <v>NA</v>
      </c>
      <c r="AK274" s="524" t="str">
        <f>IFERROR(INDEX('Legacy Resident Reference'!R:R,MATCH('Unit Summary - Rent Roll'!AJ274,'Legacy Resident Reference'!P:P,0)),"NA")</f>
        <v>NA</v>
      </c>
    </row>
    <row r="275" spans="2:37" ht="13.8" hidden="1" outlineLevel="1" x14ac:dyDescent="0.3">
      <c r="B275" s="236">
        <v>249</v>
      </c>
      <c r="C275" s="580" t="s">
        <v>143</v>
      </c>
      <c r="D275" s="581"/>
      <c r="E275" s="186" t="s">
        <v>139</v>
      </c>
      <c r="F275" s="187">
        <v>0</v>
      </c>
      <c r="G275" s="239" t="s">
        <v>85</v>
      </c>
      <c r="H275" s="243">
        <v>0</v>
      </c>
      <c r="I275" s="373">
        <f t="shared" si="64"/>
        <v>0</v>
      </c>
      <c r="J275" s="250" t="s">
        <v>139</v>
      </c>
      <c r="K275" s="508" t="s">
        <v>139</v>
      </c>
      <c r="L275" s="399" t="s">
        <v>139</v>
      </c>
      <c r="M275" s="403">
        <v>0</v>
      </c>
      <c r="N275" s="282" t="s">
        <v>139</v>
      </c>
      <c r="O275" s="302" t="str">
        <f>IF(OR(M275=0,N275="NA"),"NA",IFERROR(INDEX('Data - Reference'!$B$37:$B$50,MATCH('Unit Summary - Rent Roll'!$M275,INDEX('Data - Reference'!$B$37:$J$50,,MATCH('Unit Summary - Rent Roll'!$N275,'Data - Reference'!$B$37:$J$37,0)),-1),1),"NA"))</f>
        <v>NA</v>
      </c>
      <c r="P275" s="239" t="s">
        <v>85</v>
      </c>
      <c r="Q275" s="239" t="s">
        <v>85</v>
      </c>
      <c r="R275" s="188">
        <v>0</v>
      </c>
      <c r="S275" s="364">
        <f t="shared" si="65"/>
        <v>0</v>
      </c>
      <c r="T275" s="97">
        <f t="shared" si="66"/>
        <v>0</v>
      </c>
      <c r="U275" s="188">
        <v>0</v>
      </c>
      <c r="V275" s="364">
        <f t="shared" si="67"/>
        <v>0</v>
      </c>
      <c r="W275" s="97">
        <f t="shared" si="68"/>
        <v>0</v>
      </c>
      <c r="X275" s="71">
        <f>IFERROR(IF(INDEX(AC$14:AC$18,MATCH($E275,$AB$14:$AB$18,0))&lt;&gt;0,INDEX(AC$14:AC$18,MATCH($E275,$AB$14:$AB$18,0)),
IF($M275="Market",0,IF($L275="HUD FMR",INDEX('Data - Reference'!$B$31:$G$31,MATCH($E275,'Data - Reference'!$B$9:$G$9,0)),INDEX('Data - Reference'!$B$9:$G$31,MATCH($K275,'Data - Reference'!$B$9:$B$31,0),MATCH($E275,'Data - Reference'!$B$9:$G$9,0))))),0)</f>
        <v>0</v>
      </c>
      <c r="Y275" s="71">
        <f>IFERROR(IF(INDEX(AD$14:AD$18,MATCH($E275,$AB$14:$AB$18,0))&lt;&gt;0,INDEX(AD$14:AD$18,MATCH($E275,$AB$14:$AB$18,0)),
IF($K275="None - Market",0,-INDEX('Data - Reference'!$B$32:$G$32,MATCH($E275,'Data - Reference'!$B$9:$G$9,0)))),0)</f>
        <v>0</v>
      </c>
      <c r="Z275" s="74">
        <f t="shared" si="62"/>
        <v>0</v>
      </c>
      <c r="AA275" s="67">
        <f t="shared" si="69"/>
        <v>0</v>
      </c>
      <c r="AB275" s="97">
        <f t="shared" si="70"/>
        <v>0</v>
      </c>
      <c r="AC275" s="82">
        <f t="shared" si="5"/>
        <v>0</v>
      </c>
      <c r="AD275" s="83">
        <f t="shared" si="71"/>
        <v>0</v>
      </c>
      <c r="AE275" s="97">
        <f t="shared" si="72"/>
        <v>0</v>
      </c>
      <c r="AF275" s="415" t="str">
        <f t="shared" si="63"/>
        <v>NA</v>
      </c>
      <c r="AG275" s="420" t="str">
        <f t="shared" si="73"/>
        <v>NA</v>
      </c>
      <c r="AH275" s="420" t="str">
        <f t="shared" si="74"/>
        <v>NA</v>
      </c>
      <c r="AI275" s="417" t="str">
        <f t="shared" si="4"/>
        <v>NA</v>
      </c>
      <c r="AJ275" s="417" t="str">
        <f t="shared" si="75"/>
        <v>NA</v>
      </c>
      <c r="AK275" s="524" t="str">
        <f>IFERROR(INDEX('Legacy Resident Reference'!R:R,MATCH('Unit Summary - Rent Roll'!AJ275,'Legacy Resident Reference'!P:P,0)),"NA")</f>
        <v>NA</v>
      </c>
    </row>
    <row r="276" spans="2:37" ht="13.8" hidden="1" outlineLevel="1" x14ac:dyDescent="0.3">
      <c r="B276" s="236">
        <v>250</v>
      </c>
      <c r="C276" s="580" t="s">
        <v>143</v>
      </c>
      <c r="D276" s="581"/>
      <c r="E276" s="186" t="s">
        <v>139</v>
      </c>
      <c r="F276" s="187">
        <v>0</v>
      </c>
      <c r="G276" s="239" t="s">
        <v>85</v>
      </c>
      <c r="H276" s="243">
        <v>0</v>
      </c>
      <c r="I276" s="373">
        <f t="shared" si="64"/>
        <v>0</v>
      </c>
      <c r="J276" s="250" t="s">
        <v>139</v>
      </c>
      <c r="K276" s="508" t="s">
        <v>139</v>
      </c>
      <c r="L276" s="399" t="s">
        <v>139</v>
      </c>
      <c r="M276" s="403">
        <v>0</v>
      </c>
      <c r="N276" s="282" t="s">
        <v>139</v>
      </c>
      <c r="O276" s="302" t="str">
        <f>IF(OR(M276=0,N276="NA"),"NA",IFERROR(INDEX('Data - Reference'!$B$37:$B$50,MATCH('Unit Summary - Rent Roll'!$M276,INDEX('Data - Reference'!$B$37:$J$50,,MATCH('Unit Summary - Rent Roll'!$N276,'Data - Reference'!$B$37:$J$37,0)),-1),1),"NA"))</f>
        <v>NA</v>
      </c>
      <c r="P276" s="239" t="s">
        <v>85</v>
      </c>
      <c r="Q276" s="239" t="s">
        <v>85</v>
      </c>
      <c r="R276" s="188">
        <v>0</v>
      </c>
      <c r="S276" s="364">
        <f t="shared" si="65"/>
        <v>0</v>
      </c>
      <c r="T276" s="97">
        <f t="shared" si="66"/>
        <v>0</v>
      </c>
      <c r="U276" s="188">
        <v>0</v>
      </c>
      <c r="V276" s="364">
        <f t="shared" si="67"/>
        <v>0</v>
      </c>
      <c r="W276" s="97">
        <f t="shared" si="68"/>
        <v>0</v>
      </c>
      <c r="X276" s="71">
        <f>IFERROR(IF(INDEX(AC$14:AC$18,MATCH($E276,$AB$14:$AB$18,0))&lt;&gt;0,INDEX(AC$14:AC$18,MATCH($E276,$AB$14:$AB$18,0)),
IF($M276="Market",0,IF($L276="HUD FMR",INDEX('Data - Reference'!$B$31:$G$31,MATCH($E276,'Data - Reference'!$B$9:$G$9,0)),INDEX('Data - Reference'!$B$9:$G$31,MATCH($K276,'Data - Reference'!$B$9:$B$31,0),MATCH($E276,'Data - Reference'!$B$9:$G$9,0))))),0)</f>
        <v>0</v>
      </c>
      <c r="Y276" s="71">
        <f>IFERROR(IF(INDEX(AD$14:AD$18,MATCH($E276,$AB$14:$AB$18,0))&lt;&gt;0,INDEX(AD$14:AD$18,MATCH($E276,$AB$14:$AB$18,0)),
IF($K276="None - Market",0,-INDEX('Data - Reference'!$B$32:$G$32,MATCH($E276,'Data - Reference'!$B$9:$G$9,0)))),0)</f>
        <v>0</v>
      </c>
      <c r="Z276" s="74">
        <f t="shared" si="62"/>
        <v>0</v>
      </c>
      <c r="AA276" s="67">
        <f t="shared" si="69"/>
        <v>0</v>
      </c>
      <c r="AB276" s="97">
        <f t="shared" si="70"/>
        <v>0</v>
      </c>
      <c r="AC276" s="82">
        <f t="shared" si="5"/>
        <v>0</v>
      </c>
      <c r="AD276" s="83">
        <f t="shared" si="71"/>
        <v>0</v>
      </c>
      <c r="AE276" s="97">
        <f t="shared" si="72"/>
        <v>0</v>
      </c>
      <c r="AF276" s="415" t="str">
        <f t="shared" si="63"/>
        <v>NA</v>
      </c>
      <c r="AG276" s="420" t="str">
        <f t="shared" si="73"/>
        <v>NA</v>
      </c>
      <c r="AH276" s="420" t="str">
        <f t="shared" si="74"/>
        <v>NA</v>
      </c>
      <c r="AI276" s="417" t="str">
        <f t="shared" si="4"/>
        <v>NA</v>
      </c>
      <c r="AJ276" s="417" t="str">
        <f t="shared" si="75"/>
        <v>NA</v>
      </c>
      <c r="AK276" s="524" t="str">
        <f>IFERROR(INDEX('Legacy Resident Reference'!R:R,MATCH('Unit Summary - Rent Roll'!AJ276,'Legacy Resident Reference'!P:P,0)),"NA")</f>
        <v>NA</v>
      </c>
    </row>
    <row r="277" spans="2:37" ht="13.8" hidden="1" outlineLevel="1" x14ac:dyDescent="0.3">
      <c r="B277" s="236">
        <v>251</v>
      </c>
      <c r="C277" s="580" t="s">
        <v>143</v>
      </c>
      <c r="D277" s="581"/>
      <c r="E277" s="186" t="s">
        <v>139</v>
      </c>
      <c r="F277" s="187">
        <v>0</v>
      </c>
      <c r="G277" s="239" t="s">
        <v>85</v>
      </c>
      <c r="H277" s="243">
        <v>0</v>
      </c>
      <c r="I277" s="373">
        <f t="shared" si="64"/>
        <v>0</v>
      </c>
      <c r="J277" s="250" t="s">
        <v>139</v>
      </c>
      <c r="K277" s="508" t="s">
        <v>139</v>
      </c>
      <c r="L277" s="399" t="s">
        <v>139</v>
      </c>
      <c r="M277" s="403">
        <v>0</v>
      </c>
      <c r="N277" s="282" t="s">
        <v>139</v>
      </c>
      <c r="O277" s="302" t="str">
        <f>IF(OR(M277=0,N277="NA"),"NA",IFERROR(INDEX('Data - Reference'!$B$37:$B$50,MATCH('Unit Summary - Rent Roll'!$M277,INDEX('Data - Reference'!$B$37:$J$50,,MATCH('Unit Summary - Rent Roll'!$N277,'Data - Reference'!$B$37:$J$37,0)),-1),1),"NA"))</f>
        <v>NA</v>
      </c>
      <c r="P277" s="239" t="s">
        <v>85</v>
      </c>
      <c r="Q277" s="239" t="s">
        <v>85</v>
      </c>
      <c r="R277" s="188">
        <v>0</v>
      </c>
      <c r="S277" s="364">
        <f t="shared" si="65"/>
        <v>0</v>
      </c>
      <c r="T277" s="97">
        <f t="shared" si="66"/>
        <v>0</v>
      </c>
      <c r="U277" s="188">
        <v>0</v>
      </c>
      <c r="V277" s="364">
        <f t="shared" si="67"/>
        <v>0</v>
      </c>
      <c r="W277" s="97">
        <f t="shared" si="68"/>
        <v>0</v>
      </c>
      <c r="X277" s="71">
        <f>IFERROR(IF(INDEX(AC$14:AC$18,MATCH($E277,$AB$14:$AB$18,0))&lt;&gt;0,INDEX(AC$14:AC$18,MATCH($E277,$AB$14:$AB$18,0)),
IF($M277="Market",0,IF($L277="HUD FMR",INDEX('Data - Reference'!$B$31:$G$31,MATCH($E277,'Data - Reference'!$B$9:$G$9,0)),INDEX('Data - Reference'!$B$9:$G$31,MATCH($K277,'Data - Reference'!$B$9:$B$31,0),MATCH($E277,'Data - Reference'!$B$9:$G$9,0))))),0)</f>
        <v>0</v>
      </c>
      <c r="Y277" s="71">
        <f>IFERROR(IF(INDEX(AD$14:AD$18,MATCH($E277,$AB$14:$AB$18,0))&lt;&gt;0,INDEX(AD$14:AD$18,MATCH($E277,$AB$14:$AB$18,0)),
IF($K277="None - Market",0,-INDEX('Data - Reference'!$B$32:$G$32,MATCH($E277,'Data - Reference'!$B$9:$G$9,0)))),0)</f>
        <v>0</v>
      </c>
      <c r="Z277" s="74">
        <f t="shared" si="62"/>
        <v>0</v>
      </c>
      <c r="AA277" s="67">
        <f t="shared" si="69"/>
        <v>0</v>
      </c>
      <c r="AB277" s="97">
        <f t="shared" si="70"/>
        <v>0</v>
      </c>
      <c r="AC277" s="82">
        <f t="shared" si="5"/>
        <v>0</v>
      </c>
      <c r="AD277" s="83">
        <f t="shared" si="71"/>
        <v>0</v>
      </c>
      <c r="AE277" s="97">
        <f t="shared" si="72"/>
        <v>0</v>
      </c>
      <c r="AF277" s="415" t="str">
        <f t="shared" si="63"/>
        <v>NA</v>
      </c>
      <c r="AG277" s="420" t="str">
        <f t="shared" si="73"/>
        <v>NA</v>
      </c>
      <c r="AH277" s="420" t="str">
        <f t="shared" si="74"/>
        <v>NA</v>
      </c>
      <c r="AI277" s="417" t="str">
        <f t="shared" si="4"/>
        <v>NA</v>
      </c>
      <c r="AJ277" s="417" t="str">
        <f t="shared" si="75"/>
        <v>NA</v>
      </c>
      <c r="AK277" s="524" t="str">
        <f>IFERROR(INDEX('Legacy Resident Reference'!R:R,MATCH('Unit Summary - Rent Roll'!AJ277,'Legacy Resident Reference'!P:P,0)),"NA")</f>
        <v>NA</v>
      </c>
    </row>
    <row r="278" spans="2:37" ht="13.8" hidden="1" outlineLevel="1" x14ac:dyDescent="0.3">
      <c r="B278" s="236">
        <v>252</v>
      </c>
      <c r="C278" s="580" t="s">
        <v>143</v>
      </c>
      <c r="D278" s="581"/>
      <c r="E278" s="186" t="s">
        <v>139</v>
      </c>
      <c r="F278" s="187">
        <v>0</v>
      </c>
      <c r="G278" s="239" t="s">
        <v>85</v>
      </c>
      <c r="H278" s="243">
        <v>0</v>
      </c>
      <c r="I278" s="373">
        <f t="shared" si="64"/>
        <v>0</v>
      </c>
      <c r="J278" s="250" t="s">
        <v>139</v>
      </c>
      <c r="K278" s="508" t="s">
        <v>139</v>
      </c>
      <c r="L278" s="399" t="s">
        <v>139</v>
      </c>
      <c r="M278" s="403">
        <v>0</v>
      </c>
      <c r="N278" s="282" t="s">
        <v>139</v>
      </c>
      <c r="O278" s="302" t="str">
        <f>IF(OR(M278=0,N278="NA"),"NA",IFERROR(INDEX('Data - Reference'!$B$37:$B$50,MATCH('Unit Summary - Rent Roll'!$M278,INDEX('Data - Reference'!$B$37:$J$50,,MATCH('Unit Summary - Rent Roll'!$N278,'Data - Reference'!$B$37:$J$37,0)),-1),1),"NA"))</f>
        <v>NA</v>
      </c>
      <c r="P278" s="239" t="s">
        <v>85</v>
      </c>
      <c r="Q278" s="239" t="s">
        <v>85</v>
      </c>
      <c r="R278" s="188">
        <v>0</v>
      </c>
      <c r="S278" s="364">
        <f t="shared" si="65"/>
        <v>0</v>
      </c>
      <c r="T278" s="97">
        <f t="shared" si="66"/>
        <v>0</v>
      </c>
      <c r="U278" s="188">
        <v>0</v>
      </c>
      <c r="V278" s="364">
        <f t="shared" si="67"/>
        <v>0</v>
      </c>
      <c r="W278" s="97">
        <f t="shared" si="68"/>
        <v>0</v>
      </c>
      <c r="X278" s="71">
        <f>IFERROR(IF(INDEX(AC$14:AC$18,MATCH($E278,$AB$14:$AB$18,0))&lt;&gt;0,INDEX(AC$14:AC$18,MATCH($E278,$AB$14:$AB$18,0)),
IF($M278="Market",0,IF($L278="HUD FMR",INDEX('Data - Reference'!$B$31:$G$31,MATCH($E278,'Data - Reference'!$B$9:$G$9,0)),INDEX('Data - Reference'!$B$9:$G$31,MATCH($K278,'Data - Reference'!$B$9:$B$31,0),MATCH($E278,'Data - Reference'!$B$9:$G$9,0))))),0)</f>
        <v>0</v>
      </c>
      <c r="Y278" s="71">
        <f>IFERROR(IF(INDEX(AD$14:AD$18,MATCH($E278,$AB$14:$AB$18,0))&lt;&gt;0,INDEX(AD$14:AD$18,MATCH($E278,$AB$14:$AB$18,0)),
IF($K278="None - Market",0,-INDEX('Data - Reference'!$B$32:$G$32,MATCH($E278,'Data - Reference'!$B$9:$G$9,0)))),0)</f>
        <v>0</v>
      </c>
      <c r="Z278" s="74">
        <f t="shared" si="62"/>
        <v>0</v>
      </c>
      <c r="AA278" s="67">
        <f t="shared" si="69"/>
        <v>0</v>
      </c>
      <c r="AB278" s="97">
        <f t="shared" si="70"/>
        <v>0</v>
      </c>
      <c r="AC278" s="82">
        <f t="shared" si="5"/>
        <v>0</v>
      </c>
      <c r="AD278" s="83">
        <f t="shared" si="71"/>
        <v>0</v>
      </c>
      <c r="AE278" s="97">
        <f t="shared" si="72"/>
        <v>0</v>
      </c>
      <c r="AF278" s="415" t="str">
        <f t="shared" si="63"/>
        <v>NA</v>
      </c>
      <c r="AG278" s="420" t="str">
        <f t="shared" si="73"/>
        <v>NA</v>
      </c>
      <c r="AH278" s="420" t="str">
        <f t="shared" si="74"/>
        <v>NA</v>
      </c>
      <c r="AI278" s="417" t="str">
        <f t="shared" si="4"/>
        <v>NA</v>
      </c>
      <c r="AJ278" s="417" t="str">
        <f t="shared" si="75"/>
        <v>NA</v>
      </c>
      <c r="AK278" s="524" t="str">
        <f>IFERROR(INDEX('Legacy Resident Reference'!R:R,MATCH('Unit Summary - Rent Roll'!AJ278,'Legacy Resident Reference'!P:P,0)),"NA")</f>
        <v>NA</v>
      </c>
    </row>
    <row r="279" spans="2:37" ht="13.8" hidden="1" outlineLevel="1" x14ac:dyDescent="0.3">
      <c r="B279" s="236">
        <v>253</v>
      </c>
      <c r="C279" s="580" t="s">
        <v>143</v>
      </c>
      <c r="D279" s="581"/>
      <c r="E279" s="186" t="s">
        <v>139</v>
      </c>
      <c r="F279" s="187">
        <v>0</v>
      </c>
      <c r="G279" s="239" t="s">
        <v>85</v>
      </c>
      <c r="H279" s="243">
        <v>0</v>
      </c>
      <c r="I279" s="373">
        <f t="shared" si="64"/>
        <v>0</v>
      </c>
      <c r="J279" s="250" t="s">
        <v>139</v>
      </c>
      <c r="K279" s="508" t="s">
        <v>139</v>
      </c>
      <c r="L279" s="399" t="s">
        <v>139</v>
      </c>
      <c r="M279" s="403">
        <v>0</v>
      </c>
      <c r="N279" s="282" t="s">
        <v>139</v>
      </c>
      <c r="O279" s="302" t="str">
        <f>IF(OR(M279=0,N279="NA"),"NA",IFERROR(INDEX('Data - Reference'!$B$37:$B$50,MATCH('Unit Summary - Rent Roll'!$M279,INDEX('Data - Reference'!$B$37:$J$50,,MATCH('Unit Summary - Rent Roll'!$N279,'Data - Reference'!$B$37:$J$37,0)),-1),1),"NA"))</f>
        <v>NA</v>
      </c>
      <c r="P279" s="239" t="s">
        <v>85</v>
      </c>
      <c r="Q279" s="239" t="s">
        <v>85</v>
      </c>
      <c r="R279" s="188">
        <v>0</v>
      </c>
      <c r="S279" s="364">
        <f t="shared" si="65"/>
        <v>0</v>
      </c>
      <c r="T279" s="97">
        <f t="shared" si="66"/>
        <v>0</v>
      </c>
      <c r="U279" s="188">
        <v>0</v>
      </c>
      <c r="V279" s="364">
        <f t="shared" si="67"/>
        <v>0</v>
      </c>
      <c r="W279" s="97">
        <f t="shared" si="68"/>
        <v>0</v>
      </c>
      <c r="X279" s="71">
        <f>IFERROR(IF(INDEX(AC$14:AC$18,MATCH($E279,$AB$14:$AB$18,0))&lt;&gt;0,INDEX(AC$14:AC$18,MATCH($E279,$AB$14:$AB$18,0)),
IF($M279="Market",0,IF($L279="HUD FMR",INDEX('Data - Reference'!$B$31:$G$31,MATCH($E279,'Data - Reference'!$B$9:$G$9,0)),INDEX('Data - Reference'!$B$9:$G$31,MATCH($K279,'Data - Reference'!$B$9:$B$31,0),MATCH($E279,'Data - Reference'!$B$9:$G$9,0))))),0)</f>
        <v>0</v>
      </c>
      <c r="Y279" s="71">
        <f>IFERROR(IF(INDEX(AD$14:AD$18,MATCH($E279,$AB$14:$AB$18,0))&lt;&gt;0,INDEX(AD$14:AD$18,MATCH($E279,$AB$14:$AB$18,0)),
IF($K279="None - Market",0,-INDEX('Data - Reference'!$B$32:$G$32,MATCH($E279,'Data - Reference'!$B$9:$G$9,0)))),0)</f>
        <v>0</v>
      </c>
      <c r="Z279" s="74">
        <f t="shared" si="62"/>
        <v>0</v>
      </c>
      <c r="AA279" s="67">
        <f t="shared" si="69"/>
        <v>0</v>
      </c>
      <c r="AB279" s="97">
        <f t="shared" si="70"/>
        <v>0</v>
      </c>
      <c r="AC279" s="82">
        <f t="shared" si="5"/>
        <v>0</v>
      </c>
      <c r="AD279" s="83">
        <f t="shared" si="71"/>
        <v>0</v>
      </c>
      <c r="AE279" s="97">
        <f t="shared" si="72"/>
        <v>0</v>
      </c>
      <c r="AF279" s="415" t="str">
        <f t="shared" si="63"/>
        <v>NA</v>
      </c>
      <c r="AG279" s="420" t="str">
        <f t="shared" si="73"/>
        <v>NA</v>
      </c>
      <c r="AH279" s="420" t="str">
        <f t="shared" si="74"/>
        <v>NA</v>
      </c>
      <c r="AI279" s="417" t="str">
        <f t="shared" si="4"/>
        <v>NA</v>
      </c>
      <c r="AJ279" s="417" t="str">
        <f t="shared" si="75"/>
        <v>NA</v>
      </c>
      <c r="AK279" s="524" t="str">
        <f>IFERROR(INDEX('Legacy Resident Reference'!R:R,MATCH('Unit Summary - Rent Roll'!AJ279,'Legacy Resident Reference'!P:P,0)),"NA")</f>
        <v>NA</v>
      </c>
    </row>
    <row r="280" spans="2:37" ht="13.8" hidden="1" outlineLevel="1" x14ac:dyDescent="0.3">
      <c r="B280" s="236">
        <v>254</v>
      </c>
      <c r="C280" s="580" t="s">
        <v>143</v>
      </c>
      <c r="D280" s="581"/>
      <c r="E280" s="186" t="s">
        <v>139</v>
      </c>
      <c r="F280" s="187">
        <v>0</v>
      </c>
      <c r="G280" s="239" t="s">
        <v>85</v>
      </c>
      <c r="H280" s="243">
        <v>0</v>
      </c>
      <c r="I280" s="373">
        <f t="shared" si="64"/>
        <v>0</v>
      </c>
      <c r="J280" s="250" t="s">
        <v>139</v>
      </c>
      <c r="K280" s="508" t="s">
        <v>139</v>
      </c>
      <c r="L280" s="399" t="s">
        <v>139</v>
      </c>
      <c r="M280" s="403">
        <v>0</v>
      </c>
      <c r="N280" s="282" t="s">
        <v>139</v>
      </c>
      <c r="O280" s="302" t="str">
        <f>IF(OR(M280=0,N280="NA"),"NA",IFERROR(INDEX('Data - Reference'!$B$37:$B$50,MATCH('Unit Summary - Rent Roll'!$M280,INDEX('Data - Reference'!$B$37:$J$50,,MATCH('Unit Summary - Rent Roll'!$N280,'Data - Reference'!$B$37:$J$37,0)),-1),1),"NA"))</f>
        <v>NA</v>
      </c>
      <c r="P280" s="239" t="s">
        <v>85</v>
      </c>
      <c r="Q280" s="239" t="s">
        <v>85</v>
      </c>
      <c r="R280" s="188">
        <v>0</v>
      </c>
      <c r="S280" s="364">
        <f t="shared" si="65"/>
        <v>0</v>
      </c>
      <c r="T280" s="97">
        <f t="shared" si="66"/>
        <v>0</v>
      </c>
      <c r="U280" s="188">
        <v>0</v>
      </c>
      <c r="V280" s="364">
        <f t="shared" si="67"/>
        <v>0</v>
      </c>
      <c r="W280" s="97">
        <f t="shared" si="68"/>
        <v>0</v>
      </c>
      <c r="X280" s="71">
        <f>IFERROR(IF(INDEX(AC$14:AC$18,MATCH($E280,$AB$14:$AB$18,0))&lt;&gt;0,INDEX(AC$14:AC$18,MATCH($E280,$AB$14:$AB$18,0)),
IF($M280="Market",0,IF($L280="HUD FMR",INDEX('Data - Reference'!$B$31:$G$31,MATCH($E280,'Data - Reference'!$B$9:$G$9,0)),INDEX('Data - Reference'!$B$9:$G$31,MATCH($K280,'Data - Reference'!$B$9:$B$31,0),MATCH($E280,'Data - Reference'!$B$9:$G$9,0))))),0)</f>
        <v>0</v>
      </c>
      <c r="Y280" s="71">
        <f>IFERROR(IF(INDEX(AD$14:AD$18,MATCH($E280,$AB$14:$AB$18,0))&lt;&gt;0,INDEX(AD$14:AD$18,MATCH($E280,$AB$14:$AB$18,0)),
IF($K280="None - Market",0,-INDEX('Data - Reference'!$B$32:$G$32,MATCH($E280,'Data - Reference'!$B$9:$G$9,0)))),0)</f>
        <v>0</v>
      </c>
      <c r="Z280" s="74">
        <f t="shared" si="62"/>
        <v>0</v>
      </c>
      <c r="AA280" s="67">
        <f t="shared" si="69"/>
        <v>0</v>
      </c>
      <c r="AB280" s="97">
        <f t="shared" si="70"/>
        <v>0</v>
      </c>
      <c r="AC280" s="82">
        <f t="shared" si="5"/>
        <v>0</v>
      </c>
      <c r="AD280" s="83">
        <f t="shared" si="71"/>
        <v>0</v>
      </c>
      <c r="AE280" s="97">
        <f t="shared" si="72"/>
        <v>0</v>
      </c>
      <c r="AF280" s="415" t="str">
        <f t="shared" si="63"/>
        <v>NA</v>
      </c>
      <c r="AG280" s="420" t="str">
        <f t="shared" si="73"/>
        <v>NA</v>
      </c>
      <c r="AH280" s="420" t="str">
        <f t="shared" si="74"/>
        <v>NA</v>
      </c>
      <c r="AI280" s="417" t="str">
        <f t="shared" si="4"/>
        <v>NA</v>
      </c>
      <c r="AJ280" s="417" t="str">
        <f t="shared" si="75"/>
        <v>NA</v>
      </c>
      <c r="AK280" s="524" t="str">
        <f>IFERROR(INDEX('Legacy Resident Reference'!R:R,MATCH('Unit Summary - Rent Roll'!AJ280,'Legacy Resident Reference'!P:P,0)),"NA")</f>
        <v>NA</v>
      </c>
    </row>
    <row r="281" spans="2:37" ht="13.8" hidden="1" outlineLevel="1" x14ac:dyDescent="0.3">
      <c r="B281" s="236">
        <v>255</v>
      </c>
      <c r="C281" s="580" t="s">
        <v>143</v>
      </c>
      <c r="D281" s="581"/>
      <c r="E281" s="186" t="s">
        <v>139</v>
      </c>
      <c r="F281" s="187">
        <v>0</v>
      </c>
      <c r="G281" s="239" t="s">
        <v>85</v>
      </c>
      <c r="H281" s="243">
        <v>0</v>
      </c>
      <c r="I281" s="373">
        <f t="shared" si="64"/>
        <v>0</v>
      </c>
      <c r="J281" s="250" t="s">
        <v>139</v>
      </c>
      <c r="K281" s="508" t="s">
        <v>139</v>
      </c>
      <c r="L281" s="399" t="s">
        <v>139</v>
      </c>
      <c r="M281" s="403">
        <v>0</v>
      </c>
      <c r="N281" s="282" t="s">
        <v>139</v>
      </c>
      <c r="O281" s="302" t="str">
        <f>IF(OR(M281=0,N281="NA"),"NA",IFERROR(INDEX('Data - Reference'!$B$37:$B$50,MATCH('Unit Summary - Rent Roll'!$M281,INDEX('Data - Reference'!$B$37:$J$50,,MATCH('Unit Summary - Rent Roll'!$N281,'Data - Reference'!$B$37:$J$37,0)),-1),1),"NA"))</f>
        <v>NA</v>
      </c>
      <c r="P281" s="239" t="s">
        <v>85</v>
      </c>
      <c r="Q281" s="239" t="s">
        <v>85</v>
      </c>
      <c r="R281" s="188">
        <v>0</v>
      </c>
      <c r="S281" s="364">
        <f t="shared" si="65"/>
        <v>0</v>
      </c>
      <c r="T281" s="97">
        <f t="shared" si="66"/>
        <v>0</v>
      </c>
      <c r="U281" s="188">
        <v>0</v>
      </c>
      <c r="V281" s="364">
        <f t="shared" si="67"/>
        <v>0</v>
      </c>
      <c r="W281" s="97">
        <f t="shared" si="68"/>
        <v>0</v>
      </c>
      <c r="X281" s="71">
        <f>IFERROR(IF(INDEX(AC$14:AC$18,MATCH($E281,$AB$14:$AB$18,0))&lt;&gt;0,INDEX(AC$14:AC$18,MATCH($E281,$AB$14:$AB$18,0)),
IF($M281="Market",0,IF($L281="HUD FMR",INDEX('Data - Reference'!$B$31:$G$31,MATCH($E281,'Data - Reference'!$B$9:$G$9,0)),INDEX('Data - Reference'!$B$9:$G$31,MATCH($K281,'Data - Reference'!$B$9:$B$31,0),MATCH($E281,'Data - Reference'!$B$9:$G$9,0))))),0)</f>
        <v>0</v>
      </c>
      <c r="Y281" s="71">
        <f>IFERROR(IF(INDEX(AD$14:AD$18,MATCH($E281,$AB$14:$AB$18,0))&lt;&gt;0,INDEX(AD$14:AD$18,MATCH($E281,$AB$14:$AB$18,0)),
IF($K281="None - Market",0,-INDEX('Data - Reference'!$B$32:$G$32,MATCH($E281,'Data - Reference'!$B$9:$G$9,0)))),0)</f>
        <v>0</v>
      </c>
      <c r="Z281" s="74">
        <f t="shared" si="62"/>
        <v>0</v>
      </c>
      <c r="AA281" s="67">
        <f t="shared" si="69"/>
        <v>0</v>
      </c>
      <c r="AB281" s="97">
        <f t="shared" si="70"/>
        <v>0</v>
      </c>
      <c r="AC281" s="82">
        <f t="shared" si="5"/>
        <v>0</v>
      </c>
      <c r="AD281" s="83">
        <f t="shared" si="71"/>
        <v>0</v>
      </c>
      <c r="AE281" s="97">
        <f t="shared" si="72"/>
        <v>0</v>
      </c>
      <c r="AF281" s="415" t="str">
        <f t="shared" si="63"/>
        <v>NA</v>
      </c>
      <c r="AG281" s="420" t="str">
        <f t="shared" si="73"/>
        <v>NA</v>
      </c>
      <c r="AH281" s="420" t="str">
        <f t="shared" si="74"/>
        <v>NA</v>
      </c>
      <c r="AI281" s="417" t="str">
        <f t="shared" si="4"/>
        <v>NA</v>
      </c>
      <c r="AJ281" s="417" t="str">
        <f t="shared" si="75"/>
        <v>NA</v>
      </c>
      <c r="AK281" s="524" t="str">
        <f>IFERROR(INDEX('Legacy Resident Reference'!R:R,MATCH('Unit Summary - Rent Roll'!AJ281,'Legacy Resident Reference'!P:P,0)),"NA")</f>
        <v>NA</v>
      </c>
    </row>
    <row r="282" spans="2:37" ht="13.8" hidden="1" outlineLevel="1" x14ac:dyDescent="0.3">
      <c r="B282" s="236">
        <v>256</v>
      </c>
      <c r="C282" s="580" t="s">
        <v>143</v>
      </c>
      <c r="D282" s="581"/>
      <c r="E282" s="186" t="s">
        <v>139</v>
      </c>
      <c r="F282" s="187">
        <v>0</v>
      </c>
      <c r="G282" s="239" t="s">
        <v>85</v>
      </c>
      <c r="H282" s="243">
        <v>0</v>
      </c>
      <c r="I282" s="373">
        <f t="shared" si="64"/>
        <v>0</v>
      </c>
      <c r="J282" s="250" t="s">
        <v>139</v>
      </c>
      <c r="K282" s="508" t="s">
        <v>139</v>
      </c>
      <c r="L282" s="399" t="s">
        <v>139</v>
      </c>
      <c r="M282" s="403">
        <v>0</v>
      </c>
      <c r="N282" s="282" t="s">
        <v>139</v>
      </c>
      <c r="O282" s="302" t="str">
        <f>IF(OR(M282=0,N282="NA"),"NA",IFERROR(INDEX('Data - Reference'!$B$37:$B$50,MATCH('Unit Summary - Rent Roll'!$M282,INDEX('Data - Reference'!$B$37:$J$50,,MATCH('Unit Summary - Rent Roll'!$N282,'Data - Reference'!$B$37:$J$37,0)),-1),1),"NA"))</f>
        <v>NA</v>
      </c>
      <c r="P282" s="239" t="s">
        <v>85</v>
      </c>
      <c r="Q282" s="239" t="s">
        <v>85</v>
      </c>
      <c r="R282" s="188">
        <v>0</v>
      </c>
      <c r="S282" s="364">
        <f t="shared" si="65"/>
        <v>0</v>
      </c>
      <c r="T282" s="97">
        <f t="shared" si="66"/>
        <v>0</v>
      </c>
      <c r="U282" s="188">
        <v>0</v>
      </c>
      <c r="V282" s="364">
        <f t="shared" si="67"/>
        <v>0</v>
      </c>
      <c r="W282" s="97">
        <f t="shared" si="68"/>
        <v>0</v>
      </c>
      <c r="X282" s="71">
        <f>IFERROR(IF(INDEX(AC$14:AC$18,MATCH($E282,$AB$14:$AB$18,0))&lt;&gt;0,INDEX(AC$14:AC$18,MATCH($E282,$AB$14:$AB$18,0)),
IF($M282="Market",0,IF($L282="HUD FMR",INDEX('Data - Reference'!$B$31:$G$31,MATCH($E282,'Data - Reference'!$B$9:$G$9,0)),INDEX('Data - Reference'!$B$9:$G$31,MATCH($K282,'Data - Reference'!$B$9:$B$31,0),MATCH($E282,'Data - Reference'!$B$9:$G$9,0))))),0)</f>
        <v>0</v>
      </c>
      <c r="Y282" s="71">
        <f>IFERROR(IF(INDEX(AD$14:AD$18,MATCH($E282,$AB$14:$AB$18,0))&lt;&gt;0,INDEX(AD$14:AD$18,MATCH($E282,$AB$14:$AB$18,0)),
IF($K282="None - Market",0,-INDEX('Data - Reference'!$B$32:$G$32,MATCH($E282,'Data - Reference'!$B$9:$G$9,0)))),0)</f>
        <v>0</v>
      </c>
      <c r="Z282" s="74">
        <f t="shared" si="62"/>
        <v>0</v>
      </c>
      <c r="AA282" s="67">
        <f t="shared" si="69"/>
        <v>0</v>
      </c>
      <c r="AB282" s="97">
        <f t="shared" si="70"/>
        <v>0</v>
      </c>
      <c r="AC282" s="82">
        <f t="shared" si="5"/>
        <v>0</v>
      </c>
      <c r="AD282" s="83">
        <f t="shared" si="71"/>
        <v>0</v>
      </c>
      <c r="AE282" s="97">
        <f t="shared" si="72"/>
        <v>0</v>
      </c>
      <c r="AF282" s="415" t="str">
        <f t="shared" si="63"/>
        <v>NA</v>
      </c>
      <c r="AG282" s="420" t="str">
        <f t="shared" si="73"/>
        <v>NA</v>
      </c>
      <c r="AH282" s="420" t="str">
        <f t="shared" si="74"/>
        <v>NA</v>
      </c>
      <c r="AI282" s="417" t="str">
        <f t="shared" si="4"/>
        <v>NA</v>
      </c>
      <c r="AJ282" s="417" t="str">
        <f t="shared" si="75"/>
        <v>NA</v>
      </c>
      <c r="AK282" s="524" t="str">
        <f>IFERROR(INDEX('Legacy Resident Reference'!R:R,MATCH('Unit Summary - Rent Roll'!AJ282,'Legacy Resident Reference'!P:P,0)),"NA")</f>
        <v>NA</v>
      </c>
    </row>
    <row r="283" spans="2:37" ht="13.8" hidden="1" outlineLevel="1" x14ac:dyDescent="0.3">
      <c r="B283" s="236">
        <v>257</v>
      </c>
      <c r="C283" s="580" t="s">
        <v>143</v>
      </c>
      <c r="D283" s="581"/>
      <c r="E283" s="186" t="s">
        <v>139</v>
      </c>
      <c r="F283" s="187">
        <v>0</v>
      </c>
      <c r="G283" s="239" t="s">
        <v>85</v>
      </c>
      <c r="H283" s="243">
        <v>0</v>
      </c>
      <c r="I283" s="373">
        <f t="shared" si="64"/>
        <v>0</v>
      </c>
      <c r="J283" s="250" t="s">
        <v>139</v>
      </c>
      <c r="K283" s="508" t="s">
        <v>139</v>
      </c>
      <c r="L283" s="399" t="s">
        <v>139</v>
      </c>
      <c r="M283" s="403">
        <v>0</v>
      </c>
      <c r="N283" s="282" t="s">
        <v>139</v>
      </c>
      <c r="O283" s="302" t="str">
        <f>IF(OR(M283=0,N283="NA"),"NA",IFERROR(INDEX('Data - Reference'!$B$37:$B$50,MATCH('Unit Summary - Rent Roll'!$M283,INDEX('Data - Reference'!$B$37:$J$50,,MATCH('Unit Summary - Rent Roll'!$N283,'Data - Reference'!$B$37:$J$37,0)),-1),1),"NA"))</f>
        <v>NA</v>
      </c>
      <c r="P283" s="239" t="s">
        <v>85</v>
      </c>
      <c r="Q283" s="239" t="s">
        <v>85</v>
      </c>
      <c r="R283" s="188">
        <v>0</v>
      </c>
      <c r="S283" s="364">
        <f t="shared" si="65"/>
        <v>0</v>
      </c>
      <c r="T283" s="97">
        <f t="shared" si="66"/>
        <v>0</v>
      </c>
      <c r="U283" s="188">
        <v>0</v>
      </c>
      <c r="V283" s="364">
        <f t="shared" si="67"/>
        <v>0</v>
      </c>
      <c r="W283" s="97">
        <f t="shared" si="68"/>
        <v>0</v>
      </c>
      <c r="X283" s="71">
        <f>IFERROR(IF(INDEX(AC$14:AC$18,MATCH($E283,$AB$14:$AB$18,0))&lt;&gt;0,INDEX(AC$14:AC$18,MATCH($E283,$AB$14:$AB$18,0)),
IF($M283="Market",0,IF($L283="HUD FMR",INDEX('Data - Reference'!$B$31:$G$31,MATCH($E283,'Data - Reference'!$B$9:$G$9,0)),INDEX('Data - Reference'!$B$9:$G$31,MATCH($K283,'Data - Reference'!$B$9:$B$31,0),MATCH($E283,'Data - Reference'!$B$9:$G$9,0))))),0)</f>
        <v>0</v>
      </c>
      <c r="Y283" s="71">
        <f>IFERROR(IF(INDEX(AD$14:AD$18,MATCH($E283,$AB$14:$AB$18,0))&lt;&gt;0,INDEX(AD$14:AD$18,MATCH($E283,$AB$14:$AB$18,0)),
IF($K283="None - Market",0,-INDEX('Data - Reference'!$B$32:$G$32,MATCH($E283,'Data - Reference'!$B$9:$G$9,0)))),0)</f>
        <v>0</v>
      </c>
      <c r="Z283" s="74">
        <f t="shared" si="62"/>
        <v>0</v>
      </c>
      <c r="AA283" s="67">
        <f t="shared" si="69"/>
        <v>0</v>
      </c>
      <c r="AB283" s="97">
        <f t="shared" si="70"/>
        <v>0</v>
      </c>
      <c r="AC283" s="82">
        <f t="shared" si="5"/>
        <v>0</v>
      </c>
      <c r="AD283" s="83">
        <f t="shared" si="71"/>
        <v>0</v>
      </c>
      <c r="AE283" s="97">
        <f t="shared" si="72"/>
        <v>0</v>
      </c>
      <c r="AF283" s="415" t="str">
        <f t="shared" si="63"/>
        <v>NA</v>
      </c>
      <c r="AG283" s="420" t="str">
        <f t="shared" si="73"/>
        <v>NA</v>
      </c>
      <c r="AH283" s="420" t="str">
        <f t="shared" si="74"/>
        <v>NA</v>
      </c>
      <c r="AI283" s="417" t="str">
        <f t="shared" si="4"/>
        <v>NA</v>
      </c>
      <c r="AJ283" s="417" t="str">
        <f t="shared" si="75"/>
        <v>NA</v>
      </c>
      <c r="AK283" s="524" t="str">
        <f>IFERROR(INDEX('Legacy Resident Reference'!R:R,MATCH('Unit Summary - Rent Roll'!AJ283,'Legacy Resident Reference'!P:P,0)),"NA")</f>
        <v>NA</v>
      </c>
    </row>
    <row r="284" spans="2:37" ht="13.8" hidden="1" outlineLevel="1" x14ac:dyDescent="0.3">
      <c r="B284" s="236">
        <v>258</v>
      </c>
      <c r="C284" s="580" t="s">
        <v>143</v>
      </c>
      <c r="D284" s="581"/>
      <c r="E284" s="186" t="s">
        <v>139</v>
      </c>
      <c r="F284" s="187">
        <v>0</v>
      </c>
      <c r="G284" s="239" t="s">
        <v>85</v>
      </c>
      <c r="H284" s="243">
        <v>0</v>
      </c>
      <c r="I284" s="373">
        <f t="shared" si="64"/>
        <v>0</v>
      </c>
      <c r="J284" s="250" t="s">
        <v>139</v>
      </c>
      <c r="K284" s="508" t="s">
        <v>139</v>
      </c>
      <c r="L284" s="399" t="s">
        <v>139</v>
      </c>
      <c r="M284" s="403">
        <v>0</v>
      </c>
      <c r="N284" s="282" t="s">
        <v>139</v>
      </c>
      <c r="O284" s="302" t="str">
        <f>IF(OR(M284=0,N284="NA"),"NA",IFERROR(INDEX('Data - Reference'!$B$37:$B$50,MATCH('Unit Summary - Rent Roll'!$M284,INDEX('Data - Reference'!$B$37:$J$50,,MATCH('Unit Summary - Rent Roll'!$N284,'Data - Reference'!$B$37:$J$37,0)),-1),1),"NA"))</f>
        <v>NA</v>
      </c>
      <c r="P284" s="239" t="s">
        <v>85</v>
      </c>
      <c r="Q284" s="239" t="s">
        <v>85</v>
      </c>
      <c r="R284" s="188">
        <v>0</v>
      </c>
      <c r="S284" s="364">
        <f t="shared" si="65"/>
        <v>0</v>
      </c>
      <c r="T284" s="97">
        <f t="shared" si="66"/>
        <v>0</v>
      </c>
      <c r="U284" s="188">
        <v>0</v>
      </c>
      <c r="V284" s="364">
        <f t="shared" si="67"/>
        <v>0</v>
      </c>
      <c r="W284" s="97">
        <f t="shared" si="68"/>
        <v>0</v>
      </c>
      <c r="X284" s="71">
        <f>IFERROR(IF(INDEX(AC$14:AC$18,MATCH($E284,$AB$14:$AB$18,0))&lt;&gt;0,INDEX(AC$14:AC$18,MATCH($E284,$AB$14:$AB$18,0)),
IF($M284="Market",0,IF($L284="HUD FMR",INDEX('Data - Reference'!$B$31:$G$31,MATCH($E284,'Data - Reference'!$B$9:$G$9,0)),INDEX('Data - Reference'!$B$9:$G$31,MATCH($K284,'Data - Reference'!$B$9:$B$31,0),MATCH($E284,'Data - Reference'!$B$9:$G$9,0))))),0)</f>
        <v>0</v>
      </c>
      <c r="Y284" s="71">
        <f>IFERROR(IF(INDEX(AD$14:AD$18,MATCH($E284,$AB$14:$AB$18,0))&lt;&gt;0,INDEX(AD$14:AD$18,MATCH($E284,$AB$14:$AB$18,0)),
IF($K284="None - Market",0,-INDEX('Data - Reference'!$B$32:$G$32,MATCH($E284,'Data - Reference'!$B$9:$G$9,0)))),0)</f>
        <v>0</v>
      </c>
      <c r="Z284" s="74">
        <f t="shared" ref="Z284:Z326" si="76">ROUND(SUM(X284:Y284),0)</f>
        <v>0</v>
      </c>
      <c r="AA284" s="67">
        <f t="shared" si="69"/>
        <v>0</v>
      </c>
      <c r="AB284" s="97">
        <f t="shared" si="70"/>
        <v>0</v>
      </c>
      <c r="AC284" s="82">
        <f t="shared" si="5"/>
        <v>0</v>
      </c>
      <c r="AD284" s="83">
        <f t="shared" si="71"/>
        <v>0</v>
      </c>
      <c r="AE284" s="97">
        <f t="shared" si="72"/>
        <v>0</v>
      </c>
      <c r="AF284" s="415" t="str">
        <f t="shared" ref="AF284:AF326" si="77">IFERROR(IF(J284="Market","NA",IF(U284=0,"NA",IF(U284&gt;Z284,"N","Y"))),"NA")</f>
        <v>NA</v>
      </c>
      <c r="AG284" s="420" t="str">
        <f t="shared" si="73"/>
        <v>NA</v>
      </c>
      <c r="AH284" s="420" t="str">
        <f t="shared" si="74"/>
        <v>NA</v>
      </c>
      <c r="AI284" s="417" t="str">
        <f t="shared" si="4"/>
        <v>NA</v>
      </c>
      <c r="AJ284" s="417" t="str">
        <f t="shared" si="75"/>
        <v>NA</v>
      </c>
      <c r="AK284" s="524" t="str">
        <f>IFERROR(INDEX('Legacy Resident Reference'!R:R,MATCH('Unit Summary - Rent Roll'!AJ284,'Legacy Resident Reference'!P:P,0)),"NA")</f>
        <v>NA</v>
      </c>
    </row>
    <row r="285" spans="2:37" ht="13.8" hidden="1" outlineLevel="1" x14ac:dyDescent="0.3">
      <c r="B285" s="236">
        <v>259</v>
      </c>
      <c r="C285" s="580" t="s">
        <v>143</v>
      </c>
      <c r="D285" s="581"/>
      <c r="E285" s="186" t="s">
        <v>139</v>
      </c>
      <c r="F285" s="187">
        <v>0</v>
      </c>
      <c r="G285" s="239" t="s">
        <v>85</v>
      </c>
      <c r="H285" s="243">
        <v>0</v>
      </c>
      <c r="I285" s="373">
        <f t="shared" si="64"/>
        <v>0</v>
      </c>
      <c r="J285" s="250" t="s">
        <v>139</v>
      </c>
      <c r="K285" s="508" t="s">
        <v>139</v>
      </c>
      <c r="L285" s="399" t="s">
        <v>139</v>
      </c>
      <c r="M285" s="403">
        <v>0</v>
      </c>
      <c r="N285" s="282" t="s">
        <v>139</v>
      </c>
      <c r="O285" s="302" t="str">
        <f>IF(OR(M285=0,N285="NA"),"NA",IFERROR(INDEX('Data - Reference'!$B$37:$B$50,MATCH('Unit Summary - Rent Roll'!$M285,INDEX('Data - Reference'!$B$37:$J$50,,MATCH('Unit Summary - Rent Roll'!$N285,'Data - Reference'!$B$37:$J$37,0)),-1),1),"NA"))</f>
        <v>NA</v>
      </c>
      <c r="P285" s="239" t="s">
        <v>85</v>
      </c>
      <c r="Q285" s="239" t="s">
        <v>85</v>
      </c>
      <c r="R285" s="188">
        <v>0</v>
      </c>
      <c r="S285" s="364">
        <f t="shared" si="65"/>
        <v>0</v>
      </c>
      <c r="T285" s="97">
        <f t="shared" si="66"/>
        <v>0</v>
      </c>
      <c r="U285" s="188">
        <v>0</v>
      </c>
      <c r="V285" s="364">
        <f t="shared" si="67"/>
        <v>0</v>
      </c>
      <c r="W285" s="97">
        <f t="shared" si="68"/>
        <v>0</v>
      </c>
      <c r="X285" s="71">
        <f>IFERROR(IF(INDEX(AC$14:AC$18,MATCH($E285,$AB$14:$AB$18,0))&lt;&gt;0,INDEX(AC$14:AC$18,MATCH($E285,$AB$14:$AB$18,0)),
IF($M285="Market",0,IF($L285="HUD FMR",INDEX('Data - Reference'!$B$31:$G$31,MATCH($E285,'Data - Reference'!$B$9:$G$9,0)),INDEX('Data - Reference'!$B$9:$G$31,MATCH($K285,'Data - Reference'!$B$9:$B$31,0),MATCH($E285,'Data - Reference'!$B$9:$G$9,0))))),0)</f>
        <v>0</v>
      </c>
      <c r="Y285" s="71">
        <f>IFERROR(IF(INDEX(AD$14:AD$18,MATCH($E285,$AB$14:$AB$18,0))&lt;&gt;0,INDEX(AD$14:AD$18,MATCH($E285,$AB$14:$AB$18,0)),
IF($K285="None - Market",0,-INDEX('Data - Reference'!$B$32:$G$32,MATCH($E285,'Data - Reference'!$B$9:$G$9,0)))),0)</f>
        <v>0</v>
      </c>
      <c r="Z285" s="74">
        <f t="shared" si="76"/>
        <v>0</v>
      </c>
      <c r="AA285" s="67">
        <f t="shared" si="69"/>
        <v>0</v>
      </c>
      <c r="AB285" s="97">
        <f t="shared" si="70"/>
        <v>0</v>
      </c>
      <c r="AC285" s="82">
        <f t="shared" si="5"/>
        <v>0</v>
      </c>
      <c r="AD285" s="83">
        <f t="shared" si="71"/>
        <v>0</v>
      </c>
      <c r="AE285" s="97">
        <f t="shared" si="72"/>
        <v>0</v>
      </c>
      <c r="AF285" s="415" t="str">
        <f t="shared" si="77"/>
        <v>NA</v>
      </c>
      <c r="AG285" s="420" t="str">
        <f t="shared" si="73"/>
        <v>NA</v>
      </c>
      <c r="AH285" s="420" t="str">
        <f t="shared" si="74"/>
        <v>NA</v>
      </c>
      <c r="AI285" s="417" t="str">
        <f t="shared" si="4"/>
        <v>NA</v>
      </c>
      <c r="AJ285" s="417" t="str">
        <f t="shared" si="75"/>
        <v>NA</v>
      </c>
      <c r="AK285" s="524" t="str">
        <f>IFERROR(INDEX('Legacy Resident Reference'!R:R,MATCH('Unit Summary - Rent Roll'!AJ285,'Legacy Resident Reference'!P:P,0)),"NA")</f>
        <v>NA</v>
      </c>
    </row>
    <row r="286" spans="2:37" ht="13.8" hidden="1" outlineLevel="1" x14ac:dyDescent="0.3">
      <c r="B286" s="236">
        <v>260</v>
      </c>
      <c r="C286" s="580" t="s">
        <v>143</v>
      </c>
      <c r="D286" s="581"/>
      <c r="E286" s="186" t="s">
        <v>139</v>
      </c>
      <c r="F286" s="187">
        <v>0</v>
      </c>
      <c r="G286" s="239" t="s">
        <v>85</v>
      </c>
      <c r="H286" s="243">
        <v>0</v>
      </c>
      <c r="I286" s="373">
        <f t="shared" si="64"/>
        <v>0</v>
      </c>
      <c r="J286" s="250" t="s">
        <v>139</v>
      </c>
      <c r="K286" s="508" t="s">
        <v>139</v>
      </c>
      <c r="L286" s="399" t="s">
        <v>139</v>
      </c>
      <c r="M286" s="403">
        <v>0</v>
      </c>
      <c r="N286" s="282" t="s">
        <v>139</v>
      </c>
      <c r="O286" s="302" t="str">
        <f>IF(OR(M286=0,N286="NA"),"NA",IFERROR(INDEX('Data - Reference'!$B$37:$B$50,MATCH('Unit Summary - Rent Roll'!$M286,INDEX('Data - Reference'!$B$37:$J$50,,MATCH('Unit Summary - Rent Roll'!$N286,'Data - Reference'!$B$37:$J$37,0)),-1),1),"NA"))</f>
        <v>NA</v>
      </c>
      <c r="P286" s="239" t="s">
        <v>85</v>
      </c>
      <c r="Q286" s="239" t="s">
        <v>85</v>
      </c>
      <c r="R286" s="188">
        <v>0</v>
      </c>
      <c r="S286" s="364">
        <f t="shared" si="65"/>
        <v>0</v>
      </c>
      <c r="T286" s="97">
        <f t="shared" si="66"/>
        <v>0</v>
      </c>
      <c r="U286" s="188">
        <v>0</v>
      </c>
      <c r="V286" s="364">
        <f t="shared" si="67"/>
        <v>0</v>
      </c>
      <c r="W286" s="97">
        <f t="shared" si="68"/>
        <v>0</v>
      </c>
      <c r="X286" s="71">
        <f>IFERROR(IF(INDEX(AC$14:AC$18,MATCH($E286,$AB$14:$AB$18,0))&lt;&gt;0,INDEX(AC$14:AC$18,MATCH($E286,$AB$14:$AB$18,0)),
IF($M286="Market",0,IF($L286="HUD FMR",INDEX('Data - Reference'!$B$31:$G$31,MATCH($E286,'Data - Reference'!$B$9:$G$9,0)),INDEX('Data - Reference'!$B$9:$G$31,MATCH($K286,'Data - Reference'!$B$9:$B$31,0),MATCH($E286,'Data - Reference'!$B$9:$G$9,0))))),0)</f>
        <v>0</v>
      </c>
      <c r="Y286" s="71">
        <f>IFERROR(IF(INDEX(AD$14:AD$18,MATCH($E286,$AB$14:$AB$18,0))&lt;&gt;0,INDEX(AD$14:AD$18,MATCH($E286,$AB$14:$AB$18,0)),
IF($K286="None - Market",0,-INDEX('Data - Reference'!$B$32:$G$32,MATCH($E286,'Data - Reference'!$B$9:$G$9,0)))),0)</f>
        <v>0</v>
      </c>
      <c r="Z286" s="74">
        <f t="shared" si="76"/>
        <v>0</v>
      </c>
      <c r="AA286" s="67">
        <f t="shared" si="69"/>
        <v>0</v>
      </c>
      <c r="AB286" s="97">
        <f t="shared" si="70"/>
        <v>0</v>
      </c>
      <c r="AC286" s="82">
        <f t="shared" si="5"/>
        <v>0</v>
      </c>
      <c r="AD286" s="83">
        <f t="shared" si="71"/>
        <v>0</v>
      </c>
      <c r="AE286" s="97">
        <f t="shared" si="72"/>
        <v>0</v>
      </c>
      <c r="AF286" s="415" t="str">
        <f t="shared" si="77"/>
        <v>NA</v>
      </c>
      <c r="AG286" s="420" t="str">
        <f t="shared" si="73"/>
        <v>NA</v>
      </c>
      <c r="AH286" s="420" t="str">
        <f t="shared" si="74"/>
        <v>NA</v>
      </c>
      <c r="AI286" s="417" t="str">
        <f t="shared" si="4"/>
        <v>NA</v>
      </c>
      <c r="AJ286" s="417" t="str">
        <f t="shared" si="75"/>
        <v>NA</v>
      </c>
      <c r="AK286" s="524" t="str">
        <f>IFERROR(INDEX('Legacy Resident Reference'!R:R,MATCH('Unit Summary - Rent Roll'!AJ286,'Legacy Resident Reference'!P:P,0)),"NA")</f>
        <v>NA</v>
      </c>
    </row>
    <row r="287" spans="2:37" ht="13.8" hidden="1" outlineLevel="1" x14ac:dyDescent="0.3">
      <c r="B287" s="236">
        <v>261</v>
      </c>
      <c r="C287" s="580" t="s">
        <v>143</v>
      </c>
      <c r="D287" s="581"/>
      <c r="E287" s="186" t="s">
        <v>139</v>
      </c>
      <c r="F287" s="187">
        <v>0</v>
      </c>
      <c r="G287" s="239" t="s">
        <v>85</v>
      </c>
      <c r="H287" s="243">
        <v>0</v>
      </c>
      <c r="I287" s="373">
        <f t="shared" si="64"/>
        <v>0</v>
      </c>
      <c r="J287" s="250" t="s">
        <v>139</v>
      </c>
      <c r="K287" s="508" t="s">
        <v>139</v>
      </c>
      <c r="L287" s="399" t="s">
        <v>139</v>
      </c>
      <c r="M287" s="403">
        <v>0</v>
      </c>
      <c r="N287" s="282" t="s">
        <v>139</v>
      </c>
      <c r="O287" s="302" t="str">
        <f>IF(OR(M287=0,N287="NA"),"NA",IFERROR(INDEX('Data - Reference'!$B$37:$B$50,MATCH('Unit Summary - Rent Roll'!$M287,INDEX('Data - Reference'!$B$37:$J$50,,MATCH('Unit Summary - Rent Roll'!$N287,'Data - Reference'!$B$37:$J$37,0)),-1),1),"NA"))</f>
        <v>NA</v>
      </c>
      <c r="P287" s="239" t="s">
        <v>85</v>
      </c>
      <c r="Q287" s="239" t="s">
        <v>85</v>
      </c>
      <c r="R287" s="188">
        <v>0</v>
      </c>
      <c r="S287" s="364">
        <f t="shared" si="65"/>
        <v>0</v>
      </c>
      <c r="T287" s="97">
        <f t="shared" si="66"/>
        <v>0</v>
      </c>
      <c r="U287" s="188">
        <v>0</v>
      </c>
      <c r="V287" s="364">
        <f t="shared" si="67"/>
        <v>0</v>
      </c>
      <c r="W287" s="97">
        <f t="shared" si="68"/>
        <v>0</v>
      </c>
      <c r="X287" s="71">
        <f>IFERROR(IF(INDEX(AC$14:AC$18,MATCH($E287,$AB$14:$AB$18,0))&lt;&gt;0,INDEX(AC$14:AC$18,MATCH($E287,$AB$14:$AB$18,0)),
IF($M287="Market",0,IF($L287="HUD FMR",INDEX('Data - Reference'!$B$31:$G$31,MATCH($E287,'Data - Reference'!$B$9:$G$9,0)),INDEX('Data - Reference'!$B$9:$G$31,MATCH($K287,'Data - Reference'!$B$9:$B$31,0),MATCH($E287,'Data - Reference'!$B$9:$G$9,0))))),0)</f>
        <v>0</v>
      </c>
      <c r="Y287" s="71">
        <f>IFERROR(IF(INDEX(AD$14:AD$18,MATCH($E287,$AB$14:$AB$18,0))&lt;&gt;0,INDEX(AD$14:AD$18,MATCH($E287,$AB$14:$AB$18,0)),
IF($K287="None - Market",0,-INDEX('Data - Reference'!$B$32:$G$32,MATCH($E287,'Data - Reference'!$B$9:$G$9,0)))),0)</f>
        <v>0</v>
      </c>
      <c r="Z287" s="74">
        <f t="shared" si="76"/>
        <v>0</v>
      </c>
      <c r="AA287" s="67">
        <f t="shared" si="69"/>
        <v>0</v>
      </c>
      <c r="AB287" s="97">
        <f t="shared" si="70"/>
        <v>0</v>
      </c>
      <c r="AC287" s="82">
        <f t="shared" si="5"/>
        <v>0</v>
      </c>
      <c r="AD287" s="83">
        <f t="shared" si="71"/>
        <v>0</v>
      </c>
      <c r="AE287" s="97">
        <f t="shared" si="72"/>
        <v>0</v>
      </c>
      <c r="AF287" s="415" t="str">
        <f t="shared" si="77"/>
        <v>NA</v>
      </c>
      <c r="AG287" s="420" t="str">
        <f t="shared" si="73"/>
        <v>NA</v>
      </c>
      <c r="AH287" s="420" t="str">
        <f t="shared" si="74"/>
        <v>NA</v>
      </c>
      <c r="AI287" s="417" t="str">
        <f t="shared" si="4"/>
        <v>NA</v>
      </c>
      <c r="AJ287" s="417" t="str">
        <f t="shared" si="75"/>
        <v>NA</v>
      </c>
      <c r="AK287" s="524" t="str">
        <f>IFERROR(INDEX('Legacy Resident Reference'!R:R,MATCH('Unit Summary - Rent Roll'!AJ287,'Legacy Resident Reference'!P:P,0)),"NA")</f>
        <v>NA</v>
      </c>
    </row>
    <row r="288" spans="2:37" ht="13.8" hidden="1" outlineLevel="1" x14ac:dyDescent="0.3">
      <c r="B288" s="236">
        <v>262</v>
      </c>
      <c r="C288" s="580" t="s">
        <v>143</v>
      </c>
      <c r="D288" s="581"/>
      <c r="E288" s="186" t="s">
        <v>139</v>
      </c>
      <c r="F288" s="187">
        <v>0</v>
      </c>
      <c r="G288" s="239" t="s">
        <v>85</v>
      </c>
      <c r="H288" s="243">
        <v>0</v>
      </c>
      <c r="I288" s="373">
        <f t="shared" si="64"/>
        <v>0</v>
      </c>
      <c r="J288" s="250" t="s">
        <v>139</v>
      </c>
      <c r="K288" s="508" t="s">
        <v>139</v>
      </c>
      <c r="L288" s="399" t="s">
        <v>139</v>
      </c>
      <c r="M288" s="403">
        <v>0</v>
      </c>
      <c r="N288" s="282" t="s">
        <v>139</v>
      </c>
      <c r="O288" s="302" t="str">
        <f>IF(OR(M288=0,N288="NA"),"NA",IFERROR(INDEX('Data - Reference'!$B$37:$B$50,MATCH('Unit Summary - Rent Roll'!$M288,INDEX('Data - Reference'!$B$37:$J$50,,MATCH('Unit Summary - Rent Roll'!$N288,'Data - Reference'!$B$37:$J$37,0)),-1),1),"NA"))</f>
        <v>NA</v>
      </c>
      <c r="P288" s="239" t="s">
        <v>85</v>
      </c>
      <c r="Q288" s="239" t="s">
        <v>85</v>
      </c>
      <c r="R288" s="188">
        <v>0</v>
      </c>
      <c r="S288" s="364">
        <f t="shared" si="65"/>
        <v>0</v>
      </c>
      <c r="T288" s="97">
        <f t="shared" si="66"/>
        <v>0</v>
      </c>
      <c r="U288" s="188">
        <v>0</v>
      </c>
      <c r="V288" s="364">
        <f t="shared" si="67"/>
        <v>0</v>
      </c>
      <c r="W288" s="97">
        <f t="shared" si="68"/>
        <v>0</v>
      </c>
      <c r="X288" s="71">
        <f>IFERROR(IF(INDEX(AC$14:AC$18,MATCH($E288,$AB$14:$AB$18,0))&lt;&gt;0,INDEX(AC$14:AC$18,MATCH($E288,$AB$14:$AB$18,0)),
IF($M288="Market",0,IF($L288="HUD FMR",INDEX('Data - Reference'!$B$31:$G$31,MATCH($E288,'Data - Reference'!$B$9:$G$9,0)),INDEX('Data - Reference'!$B$9:$G$31,MATCH($K288,'Data - Reference'!$B$9:$B$31,0),MATCH($E288,'Data - Reference'!$B$9:$G$9,0))))),0)</f>
        <v>0</v>
      </c>
      <c r="Y288" s="71">
        <f>IFERROR(IF(INDEX(AD$14:AD$18,MATCH($E288,$AB$14:$AB$18,0))&lt;&gt;0,INDEX(AD$14:AD$18,MATCH($E288,$AB$14:$AB$18,0)),
IF($K288="None - Market",0,-INDEX('Data - Reference'!$B$32:$G$32,MATCH($E288,'Data - Reference'!$B$9:$G$9,0)))),0)</f>
        <v>0</v>
      </c>
      <c r="Z288" s="74">
        <f t="shared" si="76"/>
        <v>0</v>
      </c>
      <c r="AA288" s="67">
        <f t="shared" si="69"/>
        <v>0</v>
      </c>
      <c r="AB288" s="97">
        <f t="shared" si="70"/>
        <v>0</v>
      </c>
      <c r="AC288" s="82">
        <f t="shared" si="5"/>
        <v>0</v>
      </c>
      <c r="AD288" s="83">
        <f t="shared" si="71"/>
        <v>0</v>
      </c>
      <c r="AE288" s="97">
        <f t="shared" si="72"/>
        <v>0</v>
      </c>
      <c r="AF288" s="415" t="str">
        <f t="shared" si="77"/>
        <v>NA</v>
      </c>
      <c r="AG288" s="420" t="str">
        <f t="shared" si="73"/>
        <v>NA</v>
      </c>
      <c r="AH288" s="420" t="str">
        <f t="shared" si="74"/>
        <v>NA</v>
      </c>
      <c r="AI288" s="417" t="str">
        <f t="shared" si="4"/>
        <v>NA</v>
      </c>
      <c r="AJ288" s="417" t="str">
        <f t="shared" si="75"/>
        <v>NA</v>
      </c>
      <c r="AK288" s="524" t="str">
        <f>IFERROR(INDEX('Legacy Resident Reference'!R:R,MATCH('Unit Summary - Rent Roll'!AJ288,'Legacy Resident Reference'!P:P,0)),"NA")</f>
        <v>NA</v>
      </c>
    </row>
    <row r="289" spans="2:37" ht="13.8" hidden="1" outlineLevel="1" x14ac:dyDescent="0.3">
      <c r="B289" s="236">
        <v>263</v>
      </c>
      <c r="C289" s="580" t="s">
        <v>143</v>
      </c>
      <c r="D289" s="581"/>
      <c r="E289" s="186" t="s">
        <v>139</v>
      </c>
      <c r="F289" s="187">
        <v>0</v>
      </c>
      <c r="G289" s="239" t="s">
        <v>85</v>
      </c>
      <c r="H289" s="243">
        <v>0</v>
      </c>
      <c r="I289" s="373">
        <f t="shared" si="64"/>
        <v>0</v>
      </c>
      <c r="J289" s="250" t="s">
        <v>139</v>
      </c>
      <c r="K289" s="508" t="s">
        <v>139</v>
      </c>
      <c r="L289" s="399" t="s">
        <v>139</v>
      </c>
      <c r="M289" s="403">
        <v>0</v>
      </c>
      <c r="N289" s="282" t="s">
        <v>139</v>
      </c>
      <c r="O289" s="302" t="str">
        <f>IF(OR(M289=0,N289="NA"),"NA",IFERROR(INDEX('Data - Reference'!$B$37:$B$50,MATCH('Unit Summary - Rent Roll'!$M289,INDEX('Data - Reference'!$B$37:$J$50,,MATCH('Unit Summary - Rent Roll'!$N289,'Data - Reference'!$B$37:$J$37,0)),-1),1),"NA"))</f>
        <v>NA</v>
      </c>
      <c r="P289" s="239" t="s">
        <v>85</v>
      </c>
      <c r="Q289" s="239" t="s">
        <v>85</v>
      </c>
      <c r="R289" s="188">
        <v>0</v>
      </c>
      <c r="S289" s="364">
        <f t="shared" si="65"/>
        <v>0</v>
      </c>
      <c r="T289" s="97">
        <f t="shared" si="66"/>
        <v>0</v>
      </c>
      <c r="U289" s="188">
        <v>0</v>
      </c>
      <c r="V289" s="364">
        <f t="shared" si="67"/>
        <v>0</v>
      </c>
      <c r="W289" s="97">
        <f t="shared" si="68"/>
        <v>0</v>
      </c>
      <c r="X289" s="71">
        <f>IFERROR(IF(INDEX(AC$14:AC$18,MATCH($E289,$AB$14:$AB$18,0))&lt;&gt;0,INDEX(AC$14:AC$18,MATCH($E289,$AB$14:$AB$18,0)),
IF($M289="Market",0,IF($L289="HUD FMR",INDEX('Data - Reference'!$B$31:$G$31,MATCH($E289,'Data - Reference'!$B$9:$G$9,0)),INDEX('Data - Reference'!$B$9:$G$31,MATCH($K289,'Data - Reference'!$B$9:$B$31,0),MATCH($E289,'Data - Reference'!$B$9:$G$9,0))))),0)</f>
        <v>0</v>
      </c>
      <c r="Y289" s="71">
        <f>IFERROR(IF(INDEX(AD$14:AD$18,MATCH($E289,$AB$14:$AB$18,0))&lt;&gt;0,INDEX(AD$14:AD$18,MATCH($E289,$AB$14:$AB$18,0)),
IF($K289="None - Market",0,-INDEX('Data - Reference'!$B$32:$G$32,MATCH($E289,'Data - Reference'!$B$9:$G$9,0)))),0)</f>
        <v>0</v>
      </c>
      <c r="Z289" s="74">
        <f t="shared" si="76"/>
        <v>0</v>
      </c>
      <c r="AA289" s="67">
        <f t="shared" si="69"/>
        <v>0</v>
      </c>
      <c r="AB289" s="97">
        <f t="shared" si="70"/>
        <v>0</v>
      </c>
      <c r="AC289" s="82">
        <f t="shared" si="5"/>
        <v>0</v>
      </c>
      <c r="AD289" s="83">
        <f t="shared" si="71"/>
        <v>0</v>
      </c>
      <c r="AE289" s="97">
        <f t="shared" si="72"/>
        <v>0</v>
      </c>
      <c r="AF289" s="415" t="str">
        <f t="shared" si="77"/>
        <v>NA</v>
      </c>
      <c r="AG289" s="420" t="str">
        <f t="shared" si="73"/>
        <v>NA</v>
      </c>
      <c r="AH289" s="420" t="str">
        <f t="shared" si="74"/>
        <v>NA</v>
      </c>
      <c r="AI289" s="417" t="str">
        <f t="shared" si="4"/>
        <v>NA</v>
      </c>
      <c r="AJ289" s="417" t="str">
        <f t="shared" si="75"/>
        <v>NA</v>
      </c>
      <c r="AK289" s="524" t="str">
        <f>IFERROR(INDEX('Legacy Resident Reference'!R:R,MATCH('Unit Summary - Rent Roll'!AJ289,'Legacy Resident Reference'!P:P,0)),"NA")</f>
        <v>NA</v>
      </c>
    </row>
    <row r="290" spans="2:37" ht="13.8" hidden="1" outlineLevel="1" x14ac:dyDescent="0.3">
      <c r="B290" s="236">
        <v>264</v>
      </c>
      <c r="C290" s="580" t="s">
        <v>143</v>
      </c>
      <c r="D290" s="581"/>
      <c r="E290" s="186" t="s">
        <v>139</v>
      </c>
      <c r="F290" s="187">
        <v>0</v>
      </c>
      <c r="G290" s="239" t="s">
        <v>85</v>
      </c>
      <c r="H290" s="243">
        <v>0</v>
      </c>
      <c r="I290" s="373">
        <f t="shared" si="64"/>
        <v>0</v>
      </c>
      <c r="J290" s="250" t="s">
        <v>139</v>
      </c>
      <c r="K290" s="508" t="s">
        <v>139</v>
      </c>
      <c r="L290" s="399" t="s">
        <v>139</v>
      </c>
      <c r="M290" s="403">
        <v>0</v>
      </c>
      <c r="N290" s="282" t="s">
        <v>139</v>
      </c>
      <c r="O290" s="302" t="str">
        <f>IF(OR(M290=0,N290="NA"),"NA",IFERROR(INDEX('Data - Reference'!$B$37:$B$50,MATCH('Unit Summary - Rent Roll'!$M290,INDEX('Data - Reference'!$B$37:$J$50,,MATCH('Unit Summary - Rent Roll'!$N290,'Data - Reference'!$B$37:$J$37,0)),-1),1),"NA"))</f>
        <v>NA</v>
      </c>
      <c r="P290" s="239" t="s">
        <v>85</v>
      </c>
      <c r="Q290" s="239" t="s">
        <v>85</v>
      </c>
      <c r="R290" s="188">
        <v>0</v>
      </c>
      <c r="S290" s="364">
        <f t="shared" si="65"/>
        <v>0</v>
      </c>
      <c r="T290" s="97">
        <f t="shared" si="66"/>
        <v>0</v>
      </c>
      <c r="U290" s="188">
        <v>0</v>
      </c>
      <c r="V290" s="364">
        <f t="shared" si="67"/>
        <v>0</v>
      </c>
      <c r="W290" s="97">
        <f t="shared" si="68"/>
        <v>0</v>
      </c>
      <c r="X290" s="71">
        <f>IFERROR(IF(INDEX(AC$14:AC$18,MATCH($E290,$AB$14:$AB$18,0))&lt;&gt;0,INDEX(AC$14:AC$18,MATCH($E290,$AB$14:$AB$18,0)),
IF($M290="Market",0,IF($L290="HUD FMR",INDEX('Data - Reference'!$B$31:$G$31,MATCH($E290,'Data - Reference'!$B$9:$G$9,0)),INDEX('Data - Reference'!$B$9:$G$31,MATCH($K290,'Data - Reference'!$B$9:$B$31,0),MATCH($E290,'Data - Reference'!$B$9:$G$9,0))))),0)</f>
        <v>0</v>
      </c>
      <c r="Y290" s="71">
        <f>IFERROR(IF(INDEX(AD$14:AD$18,MATCH($E290,$AB$14:$AB$18,0))&lt;&gt;0,INDEX(AD$14:AD$18,MATCH($E290,$AB$14:$AB$18,0)),
IF($K290="None - Market",0,-INDEX('Data - Reference'!$B$32:$G$32,MATCH($E290,'Data - Reference'!$B$9:$G$9,0)))),0)</f>
        <v>0</v>
      </c>
      <c r="Z290" s="74">
        <f t="shared" si="76"/>
        <v>0</v>
      </c>
      <c r="AA290" s="67">
        <f t="shared" si="69"/>
        <v>0</v>
      </c>
      <c r="AB290" s="97">
        <f t="shared" si="70"/>
        <v>0</v>
      </c>
      <c r="AC290" s="82">
        <f t="shared" si="5"/>
        <v>0</v>
      </c>
      <c r="AD290" s="83">
        <f t="shared" si="71"/>
        <v>0</v>
      </c>
      <c r="AE290" s="97">
        <f t="shared" si="72"/>
        <v>0</v>
      </c>
      <c r="AF290" s="415" t="str">
        <f t="shared" si="77"/>
        <v>NA</v>
      </c>
      <c r="AG290" s="420" t="str">
        <f t="shared" si="73"/>
        <v>NA</v>
      </c>
      <c r="AH290" s="420" t="str">
        <f t="shared" si="74"/>
        <v>NA</v>
      </c>
      <c r="AI290" s="417" t="str">
        <f t="shared" ref="AI290:AI326" si="78">IFERROR(IF(AE290=0,"NA",
IF(G290="Y",IF(AC290/R290-1&lt;=0.05,"Y","N"),"NA")),"NA")</f>
        <v>NA</v>
      </c>
      <c r="AJ290" s="417" t="str">
        <f t="shared" si="75"/>
        <v>NA</v>
      </c>
      <c r="AK290" s="524" t="str">
        <f>IFERROR(INDEX('Legacy Resident Reference'!R:R,MATCH('Unit Summary - Rent Roll'!AJ290,'Legacy Resident Reference'!P:P,0)),"NA")</f>
        <v>NA</v>
      </c>
    </row>
    <row r="291" spans="2:37" ht="13.8" hidden="1" outlineLevel="1" x14ac:dyDescent="0.3">
      <c r="B291" s="236">
        <v>265</v>
      </c>
      <c r="C291" s="580" t="s">
        <v>143</v>
      </c>
      <c r="D291" s="581"/>
      <c r="E291" s="186" t="s">
        <v>139</v>
      </c>
      <c r="F291" s="187">
        <v>0</v>
      </c>
      <c r="G291" s="239" t="s">
        <v>85</v>
      </c>
      <c r="H291" s="243">
        <v>0</v>
      </c>
      <c r="I291" s="373">
        <f t="shared" si="64"/>
        <v>0</v>
      </c>
      <c r="J291" s="250" t="s">
        <v>139</v>
      </c>
      <c r="K291" s="508" t="s">
        <v>139</v>
      </c>
      <c r="L291" s="399" t="s">
        <v>139</v>
      </c>
      <c r="M291" s="403">
        <v>0</v>
      </c>
      <c r="N291" s="282" t="s">
        <v>139</v>
      </c>
      <c r="O291" s="302" t="str">
        <f>IF(OR(M291=0,N291="NA"),"NA",IFERROR(INDEX('Data - Reference'!$B$37:$B$50,MATCH('Unit Summary - Rent Roll'!$M291,INDEX('Data - Reference'!$B$37:$J$50,,MATCH('Unit Summary - Rent Roll'!$N291,'Data - Reference'!$B$37:$J$37,0)),-1),1),"NA"))</f>
        <v>NA</v>
      </c>
      <c r="P291" s="239" t="s">
        <v>85</v>
      </c>
      <c r="Q291" s="239" t="s">
        <v>85</v>
      </c>
      <c r="R291" s="188">
        <v>0</v>
      </c>
      <c r="S291" s="364">
        <f t="shared" si="65"/>
        <v>0</v>
      </c>
      <c r="T291" s="97">
        <f t="shared" si="66"/>
        <v>0</v>
      </c>
      <c r="U291" s="188">
        <v>0</v>
      </c>
      <c r="V291" s="364">
        <f t="shared" si="67"/>
        <v>0</v>
      </c>
      <c r="W291" s="97">
        <f t="shared" si="68"/>
        <v>0</v>
      </c>
      <c r="X291" s="71">
        <f>IFERROR(IF(INDEX(AC$14:AC$18,MATCH($E291,$AB$14:$AB$18,0))&lt;&gt;0,INDEX(AC$14:AC$18,MATCH($E291,$AB$14:$AB$18,0)),
IF($M291="Market",0,IF($L291="HUD FMR",INDEX('Data - Reference'!$B$31:$G$31,MATCH($E291,'Data - Reference'!$B$9:$G$9,0)),INDEX('Data - Reference'!$B$9:$G$31,MATCH($K291,'Data - Reference'!$B$9:$B$31,0),MATCH($E291,'Data - Reference'!$B$9:$G$9,0))))),0)</f>
        <v>0</v>
      </c>
      <c r="Y291" s="71">
        <f>IFERROR(IF(INDEX(AD$14:AD$18,MATCH($E291,$AB$14:$AB$18,0))&lt;&gt;0,INDEX(AD$14:AD$18,MATCH($E291,$AB$14:$AB$18,0)),
IF($K291="None - Market",0,-INDEX('Data - Reference'!$B$32:$G$32,MATCH($E291,'Data - Reference'!$B$9:$G$9,0)))),0)</f>
        <v>0</v>
      </c>
      <c r="Z291" s="74">
        <f t="shared" si="76"/>
        <v>0</v>
      </c>
      <c r="AA291" s="67">
        <f t="shared" si="69"/>
        <v>0</v>
      </c>
      <c r="AB291" s="97">
        <f t="shared" si="70"/>
        <v>0</v>
      </c>
      <c r="AC291" s="82">
        <f t="shared" si="5"/>
        <v>0</v>
      </c>
      <c r="AD291" s="83">
        <f t="shared" si="71"/>
        <v>0</v>
      </c>
      <c r="AE291" s="97">
        <f t="shared" si="72"/>
        <v>0</v>
      </c>
      <c r="AF291" s="415" t="str">
        <f t="shared" si="77"/>
        <v>NA</v>
      </c>
      <c r="AG291" s="420" t="str">
        <f t="shared" si="73"/>
        <v>NA</v>
      </c>
      <c r="AH291" s="420" t="str">
        <f t="shared" si="74"/>
        <v>NA</v>
      </c>
      <c r="AI291" s="417" t="str">
        <f t="shared" si="78"/>
        <v>NA</v>
      </c>
      <c r="AJ291" s="417" t="str">
        <f t="shared" si="75"/>
        <v>NA</v>
      </c>
      <c r="AK291" s="524" t="str">
        <f>IFERROR(INDEX('Legacy Resident Reference'!R:R,MATCH('Unit Summary - Rent Roll'!AJ291,'Legacy Resident Reference'!P:P,0)),"NA")</f>
        <v>NA</v>
      </c>
    </row>
    <row r="292" spans="2:37" ht="13.8" hidden="1" outlineLevel="1" x14ac:dyDescent="0.3">
      <c r="B292" s="236">
        <v>266</v>
      </c>
      <c r="C292" s="580" t="s">
        <v>143</v>
      </c>
      <c r="D292" s="581"/>
      <c r="E292" s="186" t="s">
        <v>139</v>
      </c>
      <c r="F292" s="187">
        <v>0</v>
      </c>
      <c r="G292" s="239" t="s">
        <v>85</v>
      </c>
      <c r="H292" s="243">
        <v>0</v>
      </c>
      <c r="I292" s="373">
        <f t="shared" ref="I292:I326" si="79">F292*H292</f>
        <v>0</v>
      </c>
      <c r="J292" s="250" t="s">
        <v>139</v>
      </c>
      <c r="K292" s="508" t="s">
        <v>139</v>
      </c>
      <c r="L292" s="399" t="s">
        <v>139</v>
      </c>
      <c r="M292" s="403">
        <v>0</v>
      </c>
      <c r="N292" s="282" t="s">
        <v>139</v>
      </c>
      <c r="O292" s="302" t="str">
        <f>IF(OR(M292=0,N292="NA"),"NA",IFERROR(INDEX('Data - Reference'!$B$37:$B$50,MATCH('Unit Summary - Rent Roll'!$M292,INDEX('Data - Reference'!$B$37:$J$50,,MATCH('Unit Summary - Rent Roll'!$N292,'Data - Reference'!$B$37:$J$37,0)),-1),1),"NA"))</f>
        <v>NA</v>
      </c>
      <c r="P292" s="239" t="s">
        <v>85</v>
      </c>
      <c r="Q292" s="239" t="s">
        <v>85</v>
      </c>
      <c r="R292" s="188">
        <v>0</v>
      </c>
      <c r="S292" s="364">
        <f t="shared" ref="S292:S326" si="80">IFERROR(R292/$F292,0)</f>
        <v>0</v>
      </c>
      <c r="T292" s="97">
        <f t="shared" ref="T292:T326" si="81">IF(G292="Y",R292*$H292*12,0)</f>
        <v>0</v>
      </c>
      <c r="U292" s="188">
        <v>0</v>
      </c>
      <c r="V292" s="364">
        <f t="shared" ref="V292:V326" si="82">IFERROR(U292/$F292,0)</f>
        <v>0</v>
      </c>
      <c r="W292" s="97">
        <f t="shared" ref="W292:W326" si="83">U292*$H292*12</f>
        <v>0</v>
      </c>
      <c r="X292" s="71">
        <f>IFERROR(IF(INDEX(AC$14:AC$18,MATCH($E292,$AB$14:$AB$18,0))&lt;&gt;0,INDEX(AC$14:AC$18,MATCH($E292,$AB$14:$AB$18,0)),
IF($M292="Market",0,IF($L292="HUD FMR",INDEX('Data - Reference'!$B$31:$G$31,MATCH($E292,'Data - Reference'!$B$9:$G$9,0)),INDEX('Data - Reference'!$B$9:$G$31,MATCH($K292,'Data - Reference'!$B$9:$B$31,0),MATCH($E292,'Data - Reference'!$B$9:$G$9,0))))),0)</f>
        <v>0</v>
      </c>
      <c r="Y292" s="71">
        <f>IFERROR(IF(INDEX(AD$14:AD$18,MATCH($E292,$AB$14:$AB$18,0))&lt;&gt;0,INDEX(AD$14:AD$18,MATCH($E292,$AB$14:$AB$18,0)),
IF($K292="None - Market",0,-INDEX('Data - Reference'!$B$32:$G$32,MATCH($E292,'Data - Reference'!$B$9:$G$9,0)))),0)</f>
        <v>0</v>
      </c>
      <c r="Z292" s="74">
        <f t="shared" si="76"/>
        <v>0</v>
      </c>
      <c r="AA292" s="67">
        <f t="shared" ref="AA292:AA326" si="84">IFERROR(Z292/$F292,0)</f>
        <v>0</v>
      </c>
      <c r="AB292" s="97">
        <f t="shared" ref="AB292:AB326" si="85">Z292*$H292*12</f>
        <v>0</v>
      </c>
      <c r="AC292" s="82">
        <f t="shared" ref="AC292:AC326" si="86">IF(AND($R292=$U292,$R292&gt;0,$U292&gt;0,$Z292&gt;0),MIN($R292,$U292,$Z292),
IF(AND($R292&lt;$U292,$Z292&gt;0),MIN($U292,$Z292),
$U292))</f>
        <v>0</v>
      </c>
      <c r="AD292" s="83">
        <f t="shared" ref="AD292:AD326" si="87">IFERROR(AC292/$F292,0)</f>
        <v>0</v>
      </c>
      <c r="AE292" s="97">
        <f t="shared" ref="AE292:AE326" si="88">AC292*$H292*12</f>
        <v>0</v>
      </c>
      <c r="AF292" s="415" t="str">
        <f t="shared" si="77"/>
        <v>NA</v>
      </c>
      <c r="AG292" s="420" t="str">
        <f t="shared" ref="AG292:AG326" si="89">IFERROR(IF(AND(OR(AJ292="1a",AJ292="2a"),OR(AH292="Y",AI292="Y")),"Y",
IF(AND(OR(AJ292="1b",AJ292="2b"),AF292="Y"),"Y",
IF(AJ292="4","Y",
IF(AJ292="NA","NA",
"N")))),"NA")</f>
        <v>NA</v>
      </c>
      <c r="AH292" s="420" t="str">
        <f t="shared" ref="AH292:AH326" si="90">IFERROR(IF(OR(G292="N",AE292=0),"NA",
IF(M292=0,"Input Current Household Income",
IF(G292="Y",IF(OR(J292="PBV - Income-Restricted",J292="PBRA - Income-Restricted",(U292-Y292)&lt;=M292/12*0.3),"Y","N"),"NA"))),"NA")</f>
        <v>NA</v>
      </c>
      <c r="AI292" s="417" t="str">
        <f t="shared" si="78"/>
        <v>NA</v>
      </c>
      <c r="AJ292" s="417" t="str">
        <f t="shared" ref="AJ292:AJ326" si="91">IFERROR(IF(G292="N","NA",
(IF(AND(J292="Market",O292&gt;80%),"4",
IF(AND(O292&lt;=K292,O292&lt;=80%),"1a",
IF(AND(O292&lt;=K292,O292&gt;80%,O292&lt;=120%),"1b",
IF(AND(O292&gt;K292,O292&lt;=80%),"2a",
IF(AND(O292&gt;80%,O292&lt;=120%,O292-K292&lt;=20%),"2b",
IF(AND(O292&gt;80%,O292&lt;=120%,O292-K292&gt;20%),"3a",
IF(OR(M292=0,O292&gt;120%),"3b",
"Other"))))))))),"NA")</f>
        <v>NA</v>
      </c>
      <c r="AK292" s="524" t="str">
        <f>IFERROR(INDEX('Legacy Resident Reference'!R:R,MATCH('Unit Summary - Rent Roll'!AJ292,'Legacy Resident Reference'!P:P,0)),"NA")</f>
        <v>NA</v>
      </c>
    </row>
    <row r="293" spans="2:37" ht="13.8" hidden="1" outlineLevel="1" x14ac:dyDescent="0.3">
      <c r="B293" s="236">
        <v>267</v>
      </c>
      <c r="C293" s="580" t="s">
        <v>143</v>
      </c>
      <c r="D293" s="581"/>
      <c r="E293" s="186" t="s">
        <v>139</v>
      </c>
      <c r="F293" s="187">
        <v>0</v>
      </c>
      <c r="G293" s="239" t="s">
        <v>85</v>
      </c>
      <c r="H293" s="243">
        <v>0</v>
      </c>
      <c r="I293" s="373">
        <f t="shared" si="79"/>
        <v>0</v>
      </c>
      <c r="J293" s="250" t="s">
        <v>139</v>
      </c>
      <c r="K293" s="508" t="s">
        <v>139</v>
      </c>
      <c r="L293" s="399" t="s">
        <v>139</v>
      </c>
      <c r="M293" s="403">
        <v>0</v>
      </c>
      <c r="N293" s="282" t="s">
        <v>139</v>
      </c>
      <c r="O293" s="302" t="str">
        <f>IF(OR(M293=0,N293="NA"),"NA",IFERROR(INDEX('Data - Reference'!$B$37:$B$50,MATCH('Unit Summary - Rent Roll'!$M293,INDEX('Data - Reference'!$B$37:$J$50,,MATCH('Unit Summary - Rent Roll'!$N293,'Data - Reference'!$B$37:$J$37,0)),-1),1),"NA"))</f>
        <v>NA</v>
      </c>
      <c r="P293" s="239" t="s">
        <v>85</v>
      </c>
      <c r="Q293" s="239" t="s">
        <v>85</v>
      </c>
      <c r="R293" s="188">
        <v>0</v>
      </c>
      <c r="S293" s="364">
        <f t="shared" si="80"/>
        <v>0</v>
      </c>
      <c r="T293" s="97">
        <f t="shared" si="81"/>
        <v>0</v>
      </c>
      <c r="U293" s="188">
        <v>0</v>
      </c>
      <c r="V293" s="364">
        <f t="shared" si="82"/>
        <v>0</v>
      </c>
      <c r="W293" s="97">
        <f t="shared" si="83"/>
        <v>0</v>
      </c>
      <c r="X293" s="71">
        <f>IFERROR(IF(INDEX(AC$14:AC$18,MATCH($E293,$AB$14:$AB$18,0))&lt;&gt;0,INDEX(AC$14:AC$18,MATCH($E293,$AB$14:$AB$18,0)),
IF($M293="Market",0,IF($L293="HUD FMR",INDEX('Data - Reference'!$B$31:$G$31,MATCH($E293,'Data - Reference'!$B$9:$G$9,0)),INDEX('Data - Reference'!$B$9:$G$31,MATCH($K293,'Data - Reference'!$B$9:$B$31,0),MATCH($E293,'Data - Reference'!$B$9:$G$9,0))))),0)</f>
        <v>0</v>
      </c>
      <c r="Y293" s="71">
        <f>IFERROR(IF(INDEX(AD$14:AD$18,MATCH($E293,$AB$14:$AB$18,0))&lt;&gt;0,INDEX(AD$14:AD$18,MATCH($E293,$AB$14:$AB$18,0)),
IF($K293="None - Market",0,-INDEX('Data - Reference'!$B$32:$G$32,MATCH($E293,'Data - Reference'!$B$9:$G$9,0)))),0)</f>
        <v>0</v>
      </c>
      <c r="Z293" s="74">
        <f t="shared" si="76"/>
        <v>0</v>
      </c>
      <c r="AA293" s="67">
        <f t="shared" si="84"/>
        <v>0</v>
      </c>
      <c r="AB293" s="97">
        <f t="shared" si="85"/>
        <v>0</v>
      </c>
      <c r="AC293" s="82">
        <f t="shared" si="86"/>
        <v>0</v>
      </c>
      <c r="AD293" s="83">
        <f t="shared" si="87"/>
        <v>0</v>
      </c>
      <c r="AE293" s="97">
        <f t="shared" si="88"/>
        <v>0</v>
      </c>
      <c r="AF293" s="415" t="str">
        <f t="shared" si="77"/>
        <v>NA</v>
      </c>
      <c r="AG293" s="420" t="str">
        <f t="shared" si="89"/>
        <v>NA</v>
      </c>
      <c r="AH293" s="420" t="str">
        <f t="shared" si="90"/>
        <v>NA</v>
      </c>
      <c r="AI293" s="417" t="str">
        <f t="shared" si="78"/>
        <v>NA</v>
      </c>
      <c r="AJ293" s="417" t="str">
        <f t="shared" si="91"/>
        <v>NA</v>
      </c>
      <c r="AK293" s="524" t="str">
        <f>IFERROR(INDEX('Legacy Resident Reference'!R:R,MATCH('Unit Summary - Rent Roll'!AJ293,'Legacy Resident Reference'!P:P,0)),"NA")</f>
        <v>NA</v>
      </c>
    </row>
    <row r="294" spans="2:37" ht="13.8" hidden="1" outlineLevel="1" x14ac:dyDescent="0.3">
      <c r="B294" s="236">
        <v>268</v>
      </c>
      <c r="C294" s="580" t="s">
        <v>143</v>
      </c>
      <c r="D294" s="581"/>
      <c r="E294" s="186" t="s">
        <v>139</v>
      </c>
      <c r="F294" s="187">
        <v>0</v>
      </c>
      <c r="G294" s="239" t="s">
        <v>85</v>
      </c>
      <c r="H294" s="243">
        <v>0</v>
      </c>
      <c r="I294" s="373">
        <f t="shared" si="79"/>
        <v>0</v>
      </c>
      <c r="J294" s="250" t="s">
        <v>139</v>
      </c>
      <c r="K294" s="508" t="s">
        <v>139</v>
      </c>
      <c r="L294" s="399" t="s">
        <v>139</v>
      </c>
      <c r="M294" s="403">
        <v>0</v>
      </c>
      <c r="N294" s="282" t="s">
        <v>139</v>
      </c>
      <c r="O294" s="302" t="str">
        <f>IF(OR(M294=0,N294="NA"),"NA",IFERROR(INDEX('Data - Reference'!$B$37:$B$50,MATCH('Unit Summary - Rent Roll'!$M294,INDEX('Data - Reference'!$B$37:$J$50,,MATCH('Unit Summary - Rent Roll'!$N294,'Data - Reference'!$B$37:$J$37,0)),-1),1),"NA"))</f>
        <v>NA</v>
      </c>
      <c r="P294" s="239" t="s">
        <v>85</v>
      </c>
      <c r="Q294" s="239" t="s">
        <v>85</v>
      </c>
      <c r="R294" s="188">
        <v>0</v>
      </c>
      <c r="S294" s="364">
        <f t="shared" si="80"/>
        <v>0</v>
      </c>
      <c r="T294" s="97">
        <f t="shared" si="81"/>
        <v>0</v>
      </c>
      <c r="U294" s="188">
        <v>0</v>
      </c>
      <c r="V294" s="364">
        <f t="shared" si="82"/>
        <v>0</v>
      </c>
      <c r="W294" s="97">
        <f t="shared" si="83"/>
        <v>0</v>
      </c>
      <c r="X294" s="71">
        <f>IFERROR(IF(INDEX(AC$14:AC$18,MATCH($E294,$AB$14:$AB$18,0))&lt;&gt;0,INDEX(AC$14:AC$18,MATCH($E294,$AB$14:$AB$18,0)),
IF($M294="Market",0,IF($L294="HUD FMR",INDEX('Data - Reference'!$B$31:$G$31,MATCH($E294,'Data - Reference'!$B$9:$G$9,0)),INDEX('Data - Reference'!$B$9:$G$31,MATCH($K294,'Data - Reference'!$B$9:$B$31,0),MATCH($E294,'Data - Reference'!$B$9:$G$9,0))))),0)</f>
        <v>0</v>
      </c>
      <c r="Y294" s="71">
        <f>IFERROR(IF(INDEX(AD$14:AD$18,MATCH($E294,$AB$14:$AB$18,0))&lt;&gt;0,INDEX(AD$14:AD$18,MATCH($E294,$AB$14:$AB$18,0)),
IF($K294="None - Market",0,-INDEX('Data - Reference'!$B$32:$G$32,MATCH($E294,'Data - Reference'!$B$9:$G$9,0)))),0)</f>
        <v>0</v>
      </c>
      <c r="Z294" s="74">
        <f t="shared" si="76"/>
        <v>0</v>
      </c>
      <c r="AA294" s="67">
        <f t="shared" si="84"/>
        <v>0</v>
      </c>
      <c r="AB294" s="97">
        <f t="shared" si="85"/>
        <v>0</v>
      </c>
      <c r="AC294" s="82">
        <f t="shared" si="86"/>
        <v>0</v>
      </c>
      <c r="AD294" s="83">
        <f t="shared" si="87"/>
        <v>0</v>
      </c>
      <c r="AE294" s="97">
        <f t="shared" si="88"/>
        <v>0</v>
      </c>
      <c r="AF294" s="415" t="str">
        <f t="shared" si="77"/>
        <v>NA</v>
      </c>
      <c r="AG294" s="420" t="str">
        <f t="shared" si="89"/>
        <v>NA</v>
      </c>
      <c r="AH294" s="420" t="str">
        <f t="shared" si="90"/>
        <v>NA</v>
      </c>
      <c r="AI294" s="417" t="str">
        <f t="shared" si="78"/>
        <v>NA</v>
      </c>
      <c r="AJ294" s="417" t="str">
        <f t="shared" si="91"/>
        <v>NA</v>
      </c>
      <c r="AK294" s="524" t="str">
        <f>IFERROR(INDEX('Legacy Resident Reference'!R:R,MATCH('Unit Summary - Rent Roll'!AJ294,'Legacy Resident Reference'!P:P,0)),"NA")</f>
        <v>NA</v>
      </c>
    </row>
    <row r="295" spans="2:37" ht="13.8" hidden="1" outlineLevel="1" x14ac:dyDescent="0.3">
      <c r="B295" s="236">
        <v>269</v>
      </c>
      <c r="C295" s="580" t="s">
        <v>143</v>
      </c>
      <c r="D295" s="581"/>
      <c r="E295" s="186" t="s">
        <v>139</v>
      </c>
      <c r="F295" s="187">
        <v>0</v>
      </c>
      <c r="G295" s="239" t="s">
        <v>85</v>
      </c>
      <c r="H295" s="243">
        <v>0</v>
      </c>
      <c r="I295" s="373">
        <f t="shared" si="79"/>
        <v>0</v>
      </c>
      <c r="J295" s="250" t="s">
        <v>139</v>
      </c>
      <c r="K295" s="508" t="s">
        <v>139</v>
      </c>
      <c r="L295" s="399" t="s">
        <v>139</v>
      </c>
      <c r="M295" s="403">
        <v>0</v>
      </c>
      <c r="N295" s="282" t="s">
        <v>139</v>
      </c>
      <c r="O295" s="302" t="str">
        <f>IF(OR(M295=0,N295="NA"),"NA",IFERROR(INDEX('Data - Reference'!$B$37:$B$50,MATCH('Unit Summary - Rent Roll'!$M295,INDEX('Data - Reference'!$B$37:$J$50,,MATCH('Unit Summary - Rent Roll'!$N295,'Data - Reference'!$B$37:$J$37,0)),-1),1),"NA"))</f>
        <v>NA</v>
      </c>
      <c r="P295" s="239" t="s">
        <v>85</v>
      </c>
      <c r="Q295" s="239" t="s">
        <v>85</v>
      </c>
      <c r="R295" s="188">
        <v>0</v>
      </c>
      <c r="S295" s="364">
        <f t="shared" si="80"/>
        <v>0</v>
      </c>
      <c r="T295" s="97">
        <f t="shared" si="81"/>
        <v>0</v>
      </c>
      <c r="U295" s="188">
        <v>0</v>
      </c>
      <c r="V295" s="364">
        <f t="shared" si="82"/>
        <v>0</v>
      </c>
      <c r="W295" s="97">
        <f t="shared" si="83"/>
        <v>0</v>
      </c>
      <c r="X295" s="71">
        <f>IFERROR(IF(INDEX(AC$14:AC$18,MATCH($E295,$AB$14:$AB$18,0))&lt;&gt;0,INDEX(AC$14:AC$18,MATCH($E295,$AB$14:$AB$18,0)),
IF($M295="Market",0,IF($L295="HUD FMR",INDEX('Data - Reference'!$B$31:$G$31,MATCH($E295,'Data - Reference'!$B$9:$G$9,0)),INDEX('Data - Reference'!$B$9:$G$31,MATCH($K295,'Data - Reference'!$B$9:$B$31,0),MATCH($E295,'Data - Reference'!$B$9:$G$9,0))))),0)</f>
        <v>0</v>
      </c>
      <c r="Y295" s="71">
        <f>IFERROR(IF(INDEX(AD$14:AD$18,MATCH($E295,$AB$14:$AB$18,0))&lt;&gt;0,INDEX(AD$14:AD$18,MATCH($E295,$AB$14:$AB$18,0)),
IF($K295="None - Market",0,-INDEX('Data - Reference'!$B$32:$G$32,MATCH($E295,'Data - Reference'!$B$9:$G$9,0)))),0)</f>
        <v>0</v>
      </c>
      <c r="Z295" s="74">
        <f t="shared" si="76"/>
        <v>0</v>
      </c>
      <c r="AA295" s="67">
        <f t="shared" si="84"/>
        <v>0</v>
      </c>
      <c r="AB295" s="97">
        <f t="shared" si="85"/>
        <v>0</v>
      </c>
      <c r="AC295" s="82">
        <f t="shared" si="86"/>
        <v>0</v>
      </c>
      <c r="AD295" s="83">
        <f t="shared" si="87"/>
        <v>0</v>
      </c>
      <c r="AE295" s="97">
        <f t="shared" si="88"/>
        <v>0</v>
      </c>
      <c r="AF295" s="415" t="str">
        <f t="shared" si="77"/>
        <v>NA</v>
      </c>
      <c r="AG295" s="420" t="str">
        <f t="shared" si="89"/>
        <v>NA</v>
      </c>
      <c r="AH295" s="420" t="str">
        <f t="shared" si="90"/>
        <v>NA</v>
      </c>
      <c r="AI295" s="417" t="str">
        <f t="shared" si="78"/>
        <v>NA</v>
      </c>
      <c r="AJ295" s="417" t="str">
        <f t="shared" si="91"/>
        <v>NA</v>
      </c>
      <c r="AK295" s="524" t="str">
        <f>IFERROR(INDEX('Legacy Resident Reference'!R:R,MATCH('Unit Summary - Rent Roll'!AJ295,'Legacy Resident Reference'!P:P,0)),"NA")</f>
        <v>NA</v>
      </c>
    </row>
    <row r="296" spans="2:37" ht="13.8" hidden="1" outlineLevel="1" x14ac:dyDescent="0.3">
      <c r="B296" s="236">
        <v>270</v>
      </c>
      <c r="C296" s="580" t="s">
        <v>143</v>
      </c>
      <c r="D296" s="581"/>
      <c r="E296" s="186" t="s">
        <v>139</v>
      </c>
      <c r="F296" s="187">
        <v>0</v>
      </c>
      <c r="G296" s="239" t="s">
        <v>85</v>
      </c>
      <c r="H296" s="243">
        <v>0</v>
      </c>
      <c r="I296" s="373">
        <f t="shared" si="79"/>
        <v>0</v>
      </c>
      <c r="J296" s="250" t="s">
        <v>139</v>
      </c>
      <c r="K296" s="508" t="s">
        <v>139</v>
      </c>
      <c r="L296" s="399" t="s">
        <v>139</v>
      </c>
      <c r="M296" s="403">
        <v>0</v>
      </c>
      <c r="N296" s="282" t="s">
        <v>139</v>
      </c>
      <c r="O296" s="302" t="str">
        <f>IF(OR(M296=0,N296="NA"),"NA",IFERROR(INDEX('Data - Reference'!$B$37:$B$50,MATCH('Unit Summary - Rent Roll'!$M296,INDEX('Data - Reference'!$B$37:$J$50,,MATCH('Unit Summary - Rent Roll'!$N296,'Data - Reference'!$B$37:$J$37,0)),-1),1),"NA"))</f>
        <v>NA</v>
      </c>
      <c r="P296" s="239" t="s">
        <v>85</v>
      </c>
      <c r="Q296" s="239" t="s">
        <v>85</v>
      </c>
      <c r="R296" s="188">
        <v>0</v>
      </c>
      <c r="S296" s="364">
        <f t="shared" si="80"/>
        <v>0</v>
      </c>
      <c r="T296" s="97">
        <f t="shared" si="81"/>
        <v>0</v>
      </c>
      <c r="U296" s="188">
        <v>0</v>
      </c>
      <c r="V296" s="364">
        <f t="shared" si="82"/>
        <v>0</v>
      </c>
      <c r="W296" s="97">
        <f t="shared" si="83"/>
        <v>0</v>
      </c>
      <c r="X296" s="71">
        <f>IFERROR(IF(INDEX(AC$14:AC$18,MATCH($E296,$AB$14:$AB$18,0))&lt;&gt;0,INDEX(AC$14:AC$18,MATCH($E296,$AB$14:$AB$18,0)),
IF($M296="Market",0,IF($L296="HUD FMR",INDEX('Data - Reference'!$B$31:$G$31,MATCH($E296,'Data - Reference'!$B$9:$G$9,0)),INDEX('Data - Reference'!$B$9:$G$31,MATCH($K296,'Data - Reference'!$B$9:$B$31,0),MATCH($E296,'Data - Reference'!$B$9:$G$9,0))))),0)</f>
        <v>0</v>
      </c>
      <c r="Y296" s="71">
        <f>IFERROR(IF(INDEX(AD$14:AD$18,MATCH($E296,$AB$14:$AB$18,0))&lt;&gt;0,INDEX(AD$14:AD$18,MATCH($E296,$AB$14:$AB$18,0)),
IF($K296="None - Market",0,-INDEX('Data - Reference'!$B$32:$G$32,MATCH($E296,'Data - Reference'!$B$9:$G$9,0)))),0)</f>
        <v>0</v>
      </c>
      <c r="Z296" s="74">
        <f t="shared" si="76"/>
        <v>0</v>
      </c>
      <c r="AA296" s="67">
        <f t="shared" si="84"/>
        <v>0</v>
      </c>
      <c r="AB296" s="97">
        <f t="shared" si="85"/>
        <v>0</v>
      </c>
      <c r="AC296" s="82">
        <f t="shared" si="86"/>
        <v>0</v>
      </c>
      <c r="AD296" s="83">
        <f t="shared" si="87"/>
        <v>0</v>
      </c>
      <c r="AE296" s="97">
        <f t="shared" si="88"/>
        <v>0</v>
      </c>
      <c r="AF296" s="415" t="str">
        <f t="shared" si="77"/>
        <v>NA</v>
      </c>
      <c r="AG296" s="420" t="str">
        <f t="shared" si="89"/>
        <v>NA</v>
      </c>
      <c r="AH296" s="420" t="str">
        <f t="shared" si="90"/>
        <v>NA</v>
      </c>
      <c r="AI296" s="417" t="str">
        <f t="shared" si="78"/>
        <v>NA</v>
      </c>
      <c r="AJ296" s="417" t="str">
        <f t="shared" si="91"/>
        <v>NA</v>
      </c>
      <c r="AK296" s="524" t="str">
        <f>IFERROR(INDEX('Legacy Resident Reference'!R:R,MATCH('Unit Summary - Rent Roll'!AJ296,'Legacy Resident Reference'!P:P,0)),"NA")</f>
        <v>NA</v>
      </c>
    </row>
    <row r="297" spans="2:37" ht="13.8" hidden="1" outlineLevel="1" x14ac:dyDescent="0.3">
      <c r="B297" s="236">
        <v>271</v>
      </c>
      <c r="C297" s="580" t="s">
        <v>143</v>
      </c>
      <c r="D297" s="581"/>
      <c r="E297" s="186" t="s">
        <v>139</v>
      </c>
      <c r="F297" s="187">
        <v>0</v>
      </c>
      <c r="G297" s="239" t="s">
        <v>85</v>
      </c>
      <c r="H297" s="243">
        <v>0</v>
      </c>
      <c r="I297" s="373">
        <f t="shared" si="79"/>
        <v>0</v>
      </c>
      <c r="J297" s="250" t="s">
        <v>139</v>
      </c>
      <c r="K297" s="508" t="s">
        <v>139</v>
      </c>
      <c r="L297" s="399" t="s">
        <v>139</v>
      </c>
      <c r="M297" s="403">
        <v>0</v>
      </c>
      <c r="N297" s="282" t="s">
        <v>139</v>
      </c>
      <c r="O297" s="302" t="str">
        <f>IF(OR(M297=0,N297="NA"),"NA",IFERROR(INDEX('Data - Reference'!$B$37:$B$50,MATCH('Unit Summary - Rent Roll'!$M297,INDEX('Data - Reference'!$B$37:$J$50,,MATCH('Unit Summary - Rent Roll'!$N297,'Data - Reference'!$B$37:$J$37,0)),-1),1),"NA"))</f>
        <v>NA</v>
      </c>
      <c r="P297" s="239" t="s">
        <v>85</v>
      </c>
      <c r="Q297" s="239" t="s">
        <v>85</v>
      </c>
      <c r="R297" s="188">
        <v>0</v>
      </c>
      <c r="S297" s="364">
        <f t="shared" si="80"/>
        <v>0</v>
      </c>
      <c r="T297" s="97">
        <f t="shared" si="81"/>
        <v>0</v>
      </c>
      <c r="U297" s="188">
        <v>0</v>
      </c>
      <c r="V297" s="364">
        <f t="shared" si="82"/>
        <v>0</v>
      </c>
      <c r="W297" s="97">
        <f t="shared" si="83"/>
        <v>0</v>
      </c>
      <c r="X297" s="71">
        <f>IFERROR(IF(INDEX(AC$14:AC$18,MATCH($E297,$AB$14:$AB$18,0))&lt;&gt;0,INDEX(AC$14:AC$18,MATCH($E297,$AB$14:$AB$18,0)),
IF($M297="Market",0,IF($L297="HUD FMR",INDEX('Data - Reference'!$B$31:$G$31,MATCH($E297,'Data - Reference'!$B$9:$G$9,0)),INDEX('Data - Reference'!$B$9:$G$31,MATCH($K297,'Data - Reference'!$B$9:$B$31,0),MATCH($E297,'Data - Reference'!$B$9:$G$9,0))))),0)</f>
        <v>0</v>
      </c>
      <c r="Y297" s="71">
        <f>IFERROR(IF(INDEX(AD$14:AD$18,MATCH($E297,$AB$14:$AB$18,0))&lt;&gt;0,INDEX(AD$14:AD$18,MATCH($E297,$AB$14:$AB$18,0)),
IF($K297="None - Market",0,-INDEX('Data - Reference'!$B$32:$G$32,MATCH($E297,'Data - Reference'!$B$9:$G$9,0)))),0)</f>
        <v>0</v>
      </c>
      <c r="Z297" s="74">
        <f t="shared" si="76"/>
        <v>0</v>
      </c>
      <c r="AA297" s="67">
        <f t="shared" si="84"/>
        <v>0</v>
      </c>
      <c r="AB297" s="97">
        <f t="shared" si="85"/>
        <v>0</v>
      </c>
      <c r="AC297" s="82">
        <f t="shared" si="86"/>
        <v>0</v>
      </c>
      <c r="AD297" s="83">
        <f t="shared" si="87"/>
        <v>0</v>
      </c>
      <c r="AE297" s="97">
        <f t="shared" si="88"/>
        <v>0</v>
      </c>
      <c r="AF297" s="415" t="str">
        <f t="shared" si="77"/>
        <v>NA</v>
      </c>
      <c r="AG297" s="420" t="str">
        <f t="shared" si="89"/>
        <v>NA</v>
      </c>
      <c r="AH297" s="420" t="str">
        <f t="shared" si="90"/>
        <v>NA</v>
      </c>
      <c r="AI297" s="417" t="str">
        <f t="shared" si="78"/>
        <v>NA</v>
      </c>
      <c r="AJ297" s="417" t="str">
        <f t="shared" si="91"/>
        <v>NA</v>
      </c>
      <c r="AK297" s="524" t="str">
        <f>IFERROR(INDEX('Legacy Resident Reference'!R:R,MATCH('Unit Summary - Rent Roll'!AJ297,'Legacy Resident Reference'!P:P,0)),"NA")</f>
        <v>NA</v>
      </c>
    </row>
    <row r="298" spans="2:37" ht="13.8" hidden="1" outlineLevel="1" x14ac:dyDescent="0.3">
      <c r="B298" s="236">
        <v>272</v>
      </c>
      <c r="C298" s="580" t="s">
        <v>143</v>
      </c>
      <c r="D298" s="581"/>
      <c r="E298" s="186" t="s">
        <v>139</v>
      </c>
      <c r="F298" s="187">
        <v>0</v>
      </c>
      <c r="G298" s="239" t="s">
        <v>85</v>
      </c>
      <c r="H298" s="243">
        <v>0</v>
      </c>
      <c r="I298" s="373">
        <f t="shared" si="79"/>
        <v>0</v>
      </c>
      <c r="J298" s="250" t="s">
        <v>139</v>
      </c>
      <c r="K298" s="508" t="s">
        <v>139</v>
      </c>
      <c r="L298" s="399" t="s">
        <v>139</v>
      </c>
      <c r="M298" s="403">
        <v>0</v>
      </c>
      <c r="N298" s="282" t="s">
        <v>139</v>
      </c>
      <c r="O298" s="302" t="str">
        <f>IF(OR(M298=0,N298="NA"),"NA",IFERROR(INDEX('Data - Reference'!$B$37:$B$50,MATCH('Unit Summary - Rent Roll'!$M298,INDEX('Data - Reference'!$B$37:$J$50,,MATCH('Unit Summary - Rent Roll'!$N298,'Data - Reference'!$B$37:$J$37,0)),-1),1),"NA"))</f>
        <v>NA</v>
      </c>
      <c r="P298" s="239" t="s">
        <v>85</v>
      </c>
      <c r="Q298" s="239" t="s">
        <v>85</v>
      </c>
      <c r="R298" s="188">
        <v>0</v>
      </c>
      <c r="S298" s="364">
        <f t="shared" si="80"/>
        <v>0</v>
      </c>
      <c r="T298" s="97">
        <f t="shared" si="81"/>
        <v>0</v>
      </c>
      <c r="U298" s="188">
        <v>0</v>
      </c>
      <c r="V298" s="364">
        <f t="shared" si="82"/>
        <v>0</v>
      </c>
      <c r="W298" s="97">
        <f t="shared" si="83"/>
        <v>0</v>
      </c>
      <c r="X298" s="71">
        <f>IFERROR(IF(INDEX(AC$14:AC$18,MATCH($E298,$AB$14:$AB$18,0))&lt;&gt;0,INDEX(AC$14:AC$18,MATCH($E298,$AB$14:$AB$18,0)),
IF($M298="Market",0,IF($L298="HUD FMR",INDEX('Data - Reference'!$B$31:$G$31,MATCH($E298,'Data - Reference'!$B$9:$G$9,0)),INDEX('Data - Reference'!$B$9:$G$31,MATCH($K298,'Data - Reference'!$B$9:$B$31,0),MATCH($E298,'Data - Reference'!$B$9:$G$9,0))))),0)</f>
        <v>0</v>
      </c>
      <c r="Y298" s="71">
        <f>IFERROR(IF(INDEX(AD$14:AD$18,MATCH($E298,$AB$14:$AB$18,0))&lt;&gt;0,INDEX(AD$14:AD$18,MATCH($E298,$AB$14:$AB$18,0)),
IF($K298="None - Market",0,-INDEX('Data - Reference'!$B$32:$G$32,MATCH($E298,'Data - Reference'!$B$9:$G$9,0)))),0)</f>
        <v>0</v>
      </c>
      <c r="Z298" s="74">
        <f t="shared" si="76"/>
        <v>0</v>
      </c>
      <c r="AA298" s="67">
        <f t="shared" si="84"/>
        <v>0</v>
      </c>
      <c r="AB298" s="97">
        <f t="shared" si="85"/>
        <v>0</v>
      </c>
      <c r="AC298" s="82">
        <f t="shared" si="86"/>
        <v>0</v>
      </c>
      <c r="AD298" s="83">
        <f t="shared" si="87"/>
        <v>0</v>
      </c>
      <c r="AE298" s="97">
        <f t="shared" si="88"/>
        <v>0</v>
      </c>
      <c r="AF298" s="415" t="str">
        <f t="shared" si="77"/>
        <v>NA</v>
      </c>
      <c r="AG298" s="420" t="str">
        <f t="shared" si="89"/>
        <v>NA</v>
      </c>
      <c r="AH298" s="420" t="str">
        <f t="shared" si="90"/>
        <v>NA</v>
      </c>
      <c r="AI298" s="417" t="str">
        <f t="shared" si="78"/>
        <v>NA</v>
      </c>
      <c r="AJ298" s="417" t="str">
        <f t="shared" si="91"/>
        <v>NA</v>
      </c>
      <c r="AK298" s="524" t="str">
        <f>IFERROR(INDEX('Legacy Resident Reference'!R:R,MATCH('Unit Summary - Rent Roll'!AJ298,'Legacy Resident Reference'!P:P,0)),"NA")</f>
        <v>NA</v>
      </c>
    </row>
    <row r="299" spans="2:37" ht="13.8" hidden="1" outlineLevel="1" x14ac:dyDescent="0.3">
      <c r="B299" s="236">
        <v>273</v>
      </c>
      <c r="C299" s="580" t="s">
        <v>143</v>
      </c>
      <c r="D299" s="581"/>
      <c r="E299" s="186" t="s">
        <v>139</v>
      </c>
      <c r="F299" s="187">
        <v>0</v>
      </c>
      <c r="G299" s="239" t="s">
        <v>85</v>
      </c>
      <c r="H299" s="243">
        <v>0</v>
      </c>
      <c r="I299" s="373">
        <f t="shared" si="79"/>
        <v>0</v>
      </c>
      <c r="J299" s="250" t="s">
        <v>139</v>
      </c>
      <c r="K299" s="508" t="s">
        <v>139</v>
      </c>
      <c r="L299" s="399" t="s">
        <v>139</v>
      </c>
      <c r="M299" s="403">
        <v>0</v>
      </c>
      <c r="N299" s="282" t="s">
        <v>139</v>
      </c>
      <c r="O299" s="302" t="str">
        <f>IF(OR(M299=0,N299="NA"),"NA",IFERROR(INDEX('Data - Reference'!$B$37:$B$50,MATCH('Unit Summary - Rent Roll'!$M299,INDEX('Data - Reference'!$B$37:$J$50,,MATCH('Unit Summary - Rent Roll'!$N299,'Data - Reference'!$B$37:$J$37,0)),-1),1),"NA"))</f>
        <v>NA</v>
      </c>
      <c r="P299" s="239" t="s">
        <v>85</v>
      </c>
      <c r="Q299" s="239" t="s">
        <v>85</v>
      </c>
      <c r="R299" s="188">
        <v>0</v>
      </c>
      <c r="S299" s="364">
        <f t="shared" si="80"/>
        <v>0</v>
      </c>
      <c r="T299" s="97">
        <f t="shared" si="81"/>
        <v>0</v>
      </c>
      <c r="U299" s="188">
        <v>0</v>
      </c>
      <c r="V299" s="364">
        <f t="shared" si="82"/>
        <v>0</v>
      </c>
      <c r="W299" s="97">
        <f t="shared" si="83"/>
        <v>0</v>
      </c>
      <c r="X299" s="71">
        <f>IFERROR(IF(INDEX(AC$14:AC$18,MATCH($E299,$AB$14:$AB$18,0))&lt;&gt;0,INDEX(AC$14:AC$18,MATCH($E299,$AB$14:$AB$18,0)),
IF($M299="Market",0,IF($L299="HUD FMR",INDEX('Data - Reference'!$B$31:$G$31,MATCH($E299,'Data - Reference'!$B$9:$G$9,0)),INDEX('Data - Reference'!$B$9:$G$31,MATCH($K299,'Data - Reference'!$B$9:$B$31,0),MATCH($E299,'Data - Reference'!$B$9:$G$9,0))))),0)</f>
        <v>0</v>
      </c>
      <c r="Y299" s="71">
        <f>IFERROR(IF(INDEX(AD$14:AD$18,MATCH($E299,$AB$14:$AB$18,0))&lt;&gt;0,INDEX(AD$14:AD$18,MATCH($E299,$AB$14:$AB$18,0)),
IF($K299="None - Market",0,-INDEX('Data - Reference'!$B$32:$G$32,MATCH($E299,'Data - Reference'!$B$9:$G$9,0)))),0)</f>
        <v>0</v>
      </c>
      <c r="Z299" s="74">
        <f t="shared" si="76"/>
        <v>0</v>
      </c>
      <c r="AA299" s="67">
        <f t="shared" si="84"/>
        <v>0</v>
      </c>
      <c r="AB299" s="97">
        <f t="shared" si="85"/>
        <v>0</v>
      </c>
      <c r="AC299" s="82">
        <f t="shared" si="86"/>
        <v>0</v>
      </c>
      <c r="AD299" s="83">
        <f t="shared" si="87"/>
        <v>0</v>
      </c>
      <c r="AE299" s="97">
        <f t="shared" si="88"/>
        <v>0</v>
      </c>
      <c r="AF299" s="415" t="str">
        <f t="shared" si="77"/>
        <v>NA</v>
      </c>
      <c r="AG299" s="420" t="str">
        <f t="shared" si="89"/>
        <v>NA</v>
      </c>
      <c r="AH299" s="420" t="str">
        <f t="shared" si="90"/>
        <v>NA</v>
      </c>
      <c r="AI299" s="417" t="str">
        <f t="shared" si="78"/>
        <v>NA</v>
      </c>
      <c r="AJ299" s="417" t="str">
        <f t="shared" si="91"/>
        <v>NA</v>
      </c>
      <c r="AK299" s="524" t="str">
        <f>IFERROR(INDEX('Legacy Resident Reference'!R:R,MATCH('Unit Summary - Rent Roll'!AJ299,'Legacy Resident Reference'!P:P,0)),"NA")</f>
        <v>NA</v>
      </c>
    </row>
    <row r="300" spans="2:37" ht="13.8" hidden="1" outlineLevel="1" x14ac:dyDescent="0.3">
      <c r="B300" s="236">
        <v>274</v>
      </c>
      <c r="C300" s="580" t="s">
        <v>143</v>
      </c>
      <c r="D300" s="581"/>
      <c r="E300" s="186" t="s">
        <v>139</v>
      </c>
      <c r="F300" s="187">
        <v>0</v>
      </c>
      <c r="G300" s="239" t="s">
        <v>85</v>
      </c>
      <c r="H300" s="243">
        <v>0</v>
      </c>
      <c r="I300" s="373">
        <f t="shared" si="79"/>
        <v>0</v>
      </c>
      <c r="J300" s="250" t="s">
        <v>139</v>
      </c>
      <c r="K300" s="508" t="s">
        <v>139</v>
      </c>
      <c r="L300" s="399" t="s">
        <v>139</v>
      </c>
      <c r="M300" s="403">
        <v>0</v>
      </c>
      <c r="N300" s="282" t="s">
        <v>139</v>
      </c>
      <c r="O300" s="302" t="str">
        <f>IF(OR(M300=0,N300="NA"),"NA",IFERROR(INDEX('Data - Reference'!$B$37:$B$50,MATCH('Unit Summary - Rent Roll'!$M300,INDEX('Data - Reference'!$B$37:$J$50,,MATCH('Unit Summary - Rent Roll'!$N300,'Data - Reference'!$B$37:$J$37,0)),-1),1),"NA"))</f>
        <v>NA</v>
      </c>
      <c r="P300" s="239" t="s">
        <v>85</v>
      </c>
      <c r="Q300" s="239" t="s">
        <v>85</v>
      </c>
      <c r="R300" s="188">
        <v>0</v>
      </c>
      <c r="S300" s="364">
        <f t="shared" si="80"/>
        <v>0</v>
      </c>
      <c r="T300" s="97">
        <f t="shared" si="81"/>
        <v>0</v>
      </c>
      <c r="U300" s="188">
        <v>0</v>
      </c>
      <c r="V300" s="364">
        <f t="shared" si="82"/>
        <v>0</v>
      </c>
      <c r="W300" s="97">
        <f t="shared" si="83"/>
        <v>0</v>
      </c>
      <c r="X300" s="71">
        <f>IFERROR(IF(INDEX(AC$14:AC$18,MATCH($E300,$AB$14:$AB$18,0))&lt;&gt;0,INDEX(AC$14:AC$18,MATCH($E300,$AB$14:$AB$18,0)),
IF($M300="Market",0,IF($L300="HUD FMR",INDEX('Data - Reference'!$B$31:$G$31,MATCH($E300,'Data - Reference'!$B$9:$G$9,0)),INDEX('Data - Reference'!$B$9:$G$31,MATCH($K300,'Data - Reference'!$B$9:$B$31,0),MATCH($E300,'Data - Reference'!$B$9:$G$9,0))))),0)</f>
        <v>0</v>
      </c>
      <c r="Y300" s="71">
        <f>IFERROR(IF(INDEX(AD$14:AD$18,MATCH($E300,$AB$14:$AB$18,0))&lt;&gt;0,INDEX(AD$14:AD$18,MATCH($E300,$AB$14:$AB$18,0)),
IF($K300="None - Market",0,-INDEX('Data - Reference'!$B$32:$G$32,MATCH($E300,'Data - Reference'!$B$9:$G$9,0)))),0)</f>
        <v>0</v>
      </c>
      <c r="Z300" s="74">
        <f t="shared" si="76"/>
        <v>0</v>
      </c>
      <c r="AA300" s="67">
        <f t="shared" si="84"/>
        <v>0</v>
      </c>
      <c r="AB300" s="97">
        <f t="shared" si="85"/>
        <v>0</v>
      </c>
      <c r="AC300" s="82">
        <f t="shared" si="86"/>
        <v>0</v>
      </c>
      <c r="AD300" s="83">
        <f t="shared" si="87"/>
        <v>0</v>
      </c>
      <c r="AE300" s="97">
        <f t="shared" si="88"/>
        <v>0</v>
      </c>
      <c r="AF300" s="415" t="str">
        <f t="shared" si="77"/>
        <v>NA</v>
      </c>
      <c r="AG300" s="420" t="str">
        <f t="shared" si="89"/>
        <v>NA</v>
      </c>
      <c r="AH300" s="420" t="str">
        <f t="shared" si="90"/>
        <v>NA</v>
      </c>
      <c r="AI300" s="417" t="str">
        <f t="shared" si="78"/>
        <v>NA</v>
      </c>
      <c r="AJ300" s="417" t="str">
        <f t="shared" si="91"/>
        <v>NA</v>
      </c>
      <c r="AK300" s="524" t="str">
        <f>IFERROR(INDEX('Legacy Resident Reference'!R:R,MATCH('Unit Summary - Rent Roll'!AJ300,'Legacy Resident Reference'!P:P,0)),"NA")</f>
        <v>NA</v>
      </c>
    </row>
    <row r="301" spans="2:37" ht="13.8" hidden="1" outlineLevel="1" x14ac:dyDescent="0.3">
      <c r="B301" s="236">
        <v>275</v>
      </c>
      <c r="C301" s="580" t="s">
        <v>143</v>
      </c>
      <c r="D301" s="581"/>
      <c r="E301" s="186" t="s">
        <v>139</v>
      </c>
      <c r="F301" s="187">
        <v>0</v>
      </c>
      <c r="G301" s="239" t="s">
        <v>85</v>
      </c>
      <c r="H301" s="243">
        <v>0</v>
      </c>
      <c r="I301" s="373">
        <f t="shared" si="79"/>
        <v>0</v>
      </c>
      <c r="J301" s="250" t="s">
        <v>139</v>
      </c>
      <c r="K301" s="508" t="s">
        <v>139</v>
      </c>
      <c r="L301" s="399" t="s">
        <v>139</v>
      </c>
      <c r="M301" s="403">
        <v>0</v>
      </c>
      <c r="N301" s="282" t="s">
        <v>139</v>
      </c>
      <c r="O301" s="302" t="str">
        <f>IF(OR(M301=0,N301="NA"),"NA",IFERROR(INDEX('Data - Reference'!$B$37:$B$50,MATCH('Unit Summary - Rent Roll'!$M301,INDEX('Data - Reference'!$B$37:$J$50,,MATCH('Unit Summary - Rent Roll'!$N301,'Data - Reference'!$B$37:$J$37,0)),-1),1),"NA"))</f>
        <v>NA</v>
      </c>
      <c r="P301" s="239" t="s">
        <v>85</v>
      </c>
      <c r="Q301" s="239" t="s">
        <v>85</v>
      </c>
      <c r="R301" s="188">
        <v>0</v>
      </c>
      <c r="S301" s="364">
        <f t="shared" si="80"/>
        <v>0</v>
      </c>
      <c r="T301" s="97">
        <f t="shared" si="81"/>
        <v>0</v>
      </c>
      <c r="U301" s="188">
        <v>0</v>
      </c>
      <c r="V301" s="364">
        <f t="shared" si="82"/>
        <v>0</v>
      </c>
      <c r="W301" s="97">
        <f t="shared" si="83"/>
        <v>0</v>
      </c>
      <c r="X301" s="71">
        <f>IFERROR(IF(INDEX(AC$14:AC$18,MATCH($E301,$AB$14:$AB$18,0))&lt;&gt;0,INDEX(AC$14:AC$18,MATCH($E301,$AB$14:$AB$18,0)),
IF($M301="Market",0,IF($L301="HUD FMR",INDEX('Data - Reference'!$B$31:$G$31,MATCH($E301,'Data - Reference'!$B$9:$G$9,0)),INDEX('Data - Reference'!$B$9:$G$31,MATCH($K301,'Data - Reference'!$B$9:$B$31,0),MATCH($E301,'Data - Reference'!$B$9:$G$9,0))))),0)</f>
        <v>0</v>
      </c>
      <c r="Y301" s="71">
        <f>IFERROR(IF(INDEX(AD$14:AD$18,MATCH($E301,$AB$14:$AB$18,0))&lt;&gt;0,INDEX(AD$14:AD$18,MATCH($E301,$AB$14:$AB$18,0)),
IF($K301="None - Market",0,-INDEX('Data - Reference'!$B$32:$G$32,MATCH($E301,'Data - Reference'!$B$9:$G$9,0)))),0)</f>
        <v>0</v>
      </c>
      <c r="Z301" s="74">
        <f t="shared" si="76"/>
        <v>0</v>
      </c>
      <c r="AA301" s="67">
        <f t="shared" si="84"/>
        <v>0</v>
      </c>
      <c r="AB301" s="97">
        <f t="shared" si="85"/>
        <v>0</v>
      </c>
      <c r="AC301" s="82">
        <f t="shared" si="86"/>
        <v>0</v>
      </c>
      <c r="AD301" s="83">
        <f t="shared" si="87"/>
        <v>0</v>
      </c>
      <c r="AE301" s="97">
        <f t="shared" si="88"/>
        <v>0</v>
      </c>
      <c r="AF301" s="415" t="str">
        <f t="shared" si="77"/>
        <v>NA</v>
      </c>
      <c r="AG301" s="420" t="str">
        <f t="shared" si="89"/>
        <v>NA</v>
      </c>
      <c r="AH301" s="420" t="str">
        <f t="shared" si="90"/>
        <v>NA</v>
      </c>
      <c r="AI301" s="417" t="str">
        <f t="shared" si="78"/>
        <v>NA</v>
      </c>
      <c r="AJ301" s="417" t="str">
        <f t="shared" si="91"/>
        <v>NA</v>
      </c>
      <c r="AK301" s="524" t="str">
        <f>IFERROR(INDEX('Legacy Resident Reference'!R:R,MATCH('Unit Summary - Rent Roll'!AJ301,'Legacy Resident Reference'!P:P,0)),"NA")</f>
        <v>NA</v>
      </c>
    </row>
    <row r="302" spans="2:37" ht="13.8" hidden="1" outlineLevel="1" x14ac:dyDescent="0.3">
      <c r="B302" s="236">
        <v>276</v>
      </c>
      <c r="C302" s="580" t="s">
        <v>143</v>
      </c>
      <c r="D302" s="581"/>
      <c r="E302" s="186" t="s">
        <v>139</v>
      </c>
      <c r="F302" s="187">
        <v>0</v>
      </c>
      <c r="G302" s="239" t="s">
        <v>85</v>
      </c>
      <c r="H302" s="243">
        <v>0</v>
      </c>
      <c r="I302" s="373">
        <f t="shared" si="79"/>
        <v>0</v>
      </c>
      <c r="J302" s="250" t="s">
        <v>139</v>
      </c>
      <c r="K302" s="508" t="s">
        <v>139</v>
      </c>
      <c r="L302" s="399" t="s">
        <v>139</v>
      </c>
      <c r="M302" s="403">
        <v>0</v>
      </c>
      <c r="N302" s="282" t="s">
        <v>139</v>
      </c>
      <c r="O302" s="302" t="str">
        <f>IF(OR(M302=0,N302="NA"),"NA",IFERROR(INDEX('Data - Reference'!$B$37:$B$50,MATCH('Unit Summary - Rent Roll'!$M302,INDEX('Data - Reference'!$B$37:$J$50,,MATCH('Unit Summary - Rent Roll'!$N302,'Data - Reference'!$B$37:$J$37,0)),-1),1),"NA"))</f>
        <v>NA</v>
      </c>
      <c r="P302" s="239" t="s">
        <v>85</v>
      </c>
      <c r="Q302" s="239" t="s">
        <v>85</v>
      </c>
      <c r="R302" s="188">
        <v>0</v>
      </c>
      <c r="S302" s="364">
        <f t="shared" si="80"/>
        <v>0</v>
      </c>
      <c r="T302" s="97">
        <f t="shared" si="81"/>
        <v>0</v>
      </c>
      <c r="U302" s="188">
        <v>0</v>
      </c>
      <c r="V302" s="364">
        <f t="shared" si="82"/>
        <v>0</v>
      </c>
      <c r="W302" s="97">
        <f t="shared" si="83"/>
        <v>0</v>
      </c>
      <c r="X302" s="71">
        <f>IFERROR(IF(INDEX(AC$14:AC$18,MATCH($E302,$AB$14:$AB$18,0))&lt;&gt;0,INDEX(AC$14:AC$18,MATCH($E302,$AB$14:$AB$18,0)),
IF($M302="Market",0,IF($L302="HUD FMR",INDEX('Data - Reference'!$B$31:$G$31,MATCH($E302,'Data - Reference'!$B$9:$G$9,0)),INDEX('Data - Reference'!$B$9:$G$31,MATCH($K302,'Data - Reference'!$B$9:$B$31,0),MATCH($E302,'Data - Reference'!$B$9:$G$9,0))))),0)</f>
        <v>0</v>
      </c>
      <c r="Y302" s="71">
        <f>IFERROR(IF(INDEX(AD$14:AD$18,MATCH($E302,$AB$14:$AB$18,0))&lt;&gt;0,INDEX(AD$14:AD$18,MATCH($E302,$AB$14:$AB$18,0)),
IF($K302="None - Market",0,-INDEX('Data - Reference'!$B$32:$G$32,MATCH($E302,'Data - Reference'!$B$9:$G$9,0)))),0)</f>
        <v>0</v>
      </c>
      <c r="Z302" s="74">
        <f t="shared" si="76"/>
        <v>0</v>
      </c>
      <c r="AA302" s="67">
        <f t="shared" si="84"/>
        <v>0</v>
      </c>
      <c r="AB302" s="97">
        <f t="shared" si="85"/>
        <v>0</v>
      </c>
      <c r="AC302" s="82">
        <f t="shared" si="86"/>
        <v>0</v>
      </c>
      <c r="AD302" s="83">
        <f t="shared" si="87"/>
        <v>0</v>
      </c>
      <c r="AE302" s="97">
        <f t="shared" si="88"/>
        <v>0</v>
      </c>
      <c r="AF302" s="415" t="str">
        <f t="shared" si="77"/>
        <v>NA</v>
      </c>
      <c r="AG302" s="420" t="str">
        <f t="shared" si="89"/>
        <v>NA</v>
      </c>
      <c r="AH302" s="420" t="str">
        <f t="shared" si="90"/>
        <v>NA</v>
      </c>
      <c r="AI302" s="417" t="str">
        <f t="shared" si="78"/>
        <v>NA</v>
      </c>
      <c r="AJ302" s="417" t="str">
        <f t="shared" si="91"/>
        <v>NA</v>
      </c>
      <c r="AK302" s="524" t="str">
        <f>IFERROR(INDEX('Legacy Resident Reference'!R:R,MATCH('Unit Summary - Rent Roll'!AJ302,'Legacy Resident Reference'!P:P,0)),"NA")</f>
        <v>NA</v>
      </c>
    </row>
    <row r="303" spans="2:37" ht="13.8" hidden="1" outlineLevel="1" x14ac:dyDescent="0.3">
      <c r="B303" s="236">
        <v>277</v>
      </c>
      <c r="C303" s="580" t="s">
        <v>143</v>
      </c>
      <c r="D303" s="581"/>
      <c r="E303" s="186" t="s">
        <v>139</v>
      </c>
      <c r="F303" s="187">
        <v>0</v>
      </c>
      <c r="G303" s="239" t="s">
        <v>85</v>
      </c>
      <c r="H303" s="243">
        <v>0</v>
      </c>
      <c r="I303" s="373">
        <f t="shared" si="79"/>
        <v>0</v>
      </c>
      <c r="J303" s="250" t="s">
        <v>139</v>
      </c>
      <c r="K303" s="508" t="s">
        <v>139</v>
      </c>
      <c r="L303" s="399" t="s">
        <v>139</v>
      </c>
      <c r="M303" s="403">
        <v>0</v>
      </c>
      <c r="N303" s="282" t="s">
        <v>139</v>
      </c>
      <c r="O303" s="302" t="str">
        <f>IF(OR(M303=0,N303="NA"),"NA",IFERROR(INDEX('Data - Reference'!$B$37:$B$50,MATCH('Unit Summary - Rent Roll'!$M303,INDEX('Data - Reference'!$B$37:$J$50,,MATCH('Unit Summary - Rent Roll'!$N303,'Data - Reference'!$B$37:$J$37,0)),-1),1),"NA"))</f>
        <v>NA</v>
      </c>
      <c r="P303" s="239" t="s">
        <v>85</v>
      </c>
      <c r="Q303" s="239" t="s">
        <v>85</v>
      </c>
      <c r="R303" s="188">
        <v>0</v>
      </c>
      <c r="S303" s="364">
        <f t="shared" si="80"/>
        <v>0</v>
      </c>
      <c r="T303" s="97">
        <f t="shared" si="81"/>
        <v>0</v>
      </c>
      <c r="U303" s="188">
        <v>0</v>
      </c>
      <c r="V303" s="364">
        <f t="shared" si="82"/>
        <v>0</v>
      </c>
      <c r="W303" s="97">
        <f t="shared" si="83"/>
        <v>0</v>
      </c>
      <c r="X303" s="71">
        <f>IFERROR(IF(INDEX(AC$14:AC$18,MATCH($E303,$AB$14:$AB$18,0))&lt;&gt;0,INDEX(AC$14:AC$18,MATCH($E303,$AB$14:$AB$18,0)),
IF($M303="Market",0,IF($L303="HUD FMR",INDEX('Data - Reference'!$B$31:$G$31,MATCH($E303,'Data - Reference'!$B$9:$G$9,0)),INDEX('Data - Reference'!$B$9:$G$31,MATCH($K303,'Data - Reference'!$B$9:$B$31,0),MATCH($E303,'Data - Reference'!$B$9:$G$9,0))))),0)</f>
        <v>0</v>
      </c>
      <c r="Y303" s="71">
        <f>IFERROR(IF(INDEX(AD$14:AD$18,MATCH($E303,$AB$14:$AB$18,0))&lt;&gt;0,INDEX(AD$14:AD$18,MATCH($E303,$AB$14:$AB$18,0)),
IF($K303="None - Market",0,-INDEX('Data - Reference'!$B$32:$G$32,MATCH($E303,'Data - Reference'!$B$9:$G$9,0)))),0)</f>
        <v>0</v>
      </c>
      <c r="Z303" s="74">
        <f t="shared" si="76"/>
        <v>0</v>
      </c>
      <c r="AA303" s="67">
        <f t="shared" si="84"/>
        <v>0</v>
      </c>
      <c r="AB303" s="97">
        <f t="shared" si="85"/>
        <v>0</v>
      </c>
      <c r="AC303" s="82">
        <f t="shared" si="86"/>
        <v>0</v>
      </c>
      <c r="AD303" s="83">
        <f t="shared" si="87"/>
        <v>0</v>
      </c>
      <c r="AE303" s="97">
        <f t="shared" si="88"/>
        <v>0</v>
      </c>
      <c r="AF303" s="415" t="str">
        <f t="shared" si="77"/>
        <v>NA</v>
      </c>
      <c r="AG303" s="420" t="str">
        <f t="shared" si="89"/>
        <v>NA</v>
      </c>
      <c r="AH303" s="420" t="str">
        <f t="shared" si="90"/>
        <v>NA</v>
      </c>
      <c r="AI303" s="417" t="str">
        <f t="shared" si="78"/>
        <v>NA</v>
      </c>
      <c r="AJ303" s="417" t="str">
        <f t="shared" si="91"/>
        <v>NA</v>
      </c>
      <c r="AK303" s="524" t="str">
        <f>IFERROR(INDEX('Legacy Resident Reference'!R:R,MATCH('Unit Summary - Rent Roll'!AJ303,'Legacy Resident Reference'!P:P,0)),"NA")</f>
        <v>NA</v>
      </c>
    </row>
    <row r="304" spans="2:37" ht="13.8" hidden="1" outlineLevel="1" x14ac:dyDescent="0.3">
      <c r="B304" s="236">
        <v>278</v>
      </c>
      <c r="C304" s="580" t="s">
        <v>143</v>
      </c>
      <c r="D304" s="581"/>
      <c r="E304" s="186" t="s">
        <v>139</v>
      </c>
      <c r="F304" s="187">
        <v>0</v>
      </c>
      <c r="G304" s="239" t="s">
        <v>85</v>
      </c>
      <c r="H304" s="243">
        <v>0</v>
      </c>
      <c r="I304" s="373">
        <f t="shared" si="79"/>
        <v>0</v>
      </c>
      <c r="J304" s="250" t="s">
        <v>139</v>
      </c>
      <c r="K304" s="508" t="s">
        <v>139</v>
      </c>
      <c r="L304" s="399" t="s">
        <v>139</v>
      </c>
      <c r="M304" s="403">
        <v>0</v>
      </c>
      <c r="N304" s="282" t="s">
        <v>139</v>
      </c>
      <c r="O304" s="302" t="str">
        <f>IF(OR(M304=0,N304="NA"),"NA",IFERROR(INDEX('Data - Reference'!$B$37:$B$50,MATCH('Unit Summary - Rent Roll'!$M304,INDEX('Data - Reference'!$B$37:$J$50,,MATCH('Unit Summary - Rent Roll'!$N304,'Data - Reference'!$B$37:$J$37,0)),-1),1),"NA"))</f>
        <v>NA</v>
      </c>
      <c r="P304" s="239" t="s">
        <v>85</v>
      </c>
      <c r="Q304" s="239" t="s">
        <v>85</v>
      </c>
      <c r="R304" s="188">
        <v>0</v>
      </c>
      <c r="S304" s="364">
        <f t="shared" si="80"/>
        <v>0</v>
      </c>
      <c r="T304" s="97">
        <f t="shared" si="81"/>
        <v>0</v>
      </c>
      <c r="U304" s="188">
        <v>0</v>
      </c>
      <c r="V304" s="364">
        <f t="shared" si="82"/>
        <v>0</v>
      </c>
      <c r="W304" s="97">
        <f t="shared" si="83"/>
        <v>0</v>
      </c>
      <c r="X304" s="71">
        <f>IFERROR(IF(INDEX(AC$14:AC$18,MATCH($E304,$AB$14:$AB$18,0))&lt;&gt;0,INDEX(AC$14:AC$18,MATCH($E304,$AB$14:$AB$18,0)),
IF($M304="Market",0,IF($L304="HUD FMR",INDEX('Data - Reference'!$B$31:$G$31,MATCH($E304,'Data - Reference'!$B$9:$G$9,0)),INDEX('Data - Reference'!$B$9:$G$31,MATCH($K304,'Data - Reference'!$B$9:$B$31,0),MATCH($E304,'Data - Reference'!$B$9:$G$9,0))))),0)</f>
        <v>0</v>
      </c>
      <c r="Y304" s="71">
        <f>IFERROR(IF(INDEX(AD$14:AD$18,MATCH($E304,$AB$14:$AB$18,0))&lt;&gt;0,INDEX(AD$14:AD$18,MATCH($E304,$AB$14:$AB$18,0)),
IF($K304="None - Market",0,-INDEX('Data - Reference'!$B$32:$G$32,MATCH($E304,'Data - Reference'!$B$9:$G$9,0)))),0)</f>
        <v>0</v>
      </c>
      <c r="Z304" s="74">
        <f t="shared" si="76"/>
        <v>0</v>
      </c>
      <c r="AA304" s="67">
        <f t="shared" si="84"/>
        <v>0</v>
      </c>
      <c r="AB304" s="97">
        <f t="shared" si="85"/>
        <v>0</v>
      </c>
      <c r="AC304" s="82">
        <f t="shared" si="86"/>
        <v>0</v>
      </c>
      <c r="AD304" s="83">
        <f t="shared" si="87"/>
        <v>0</v>
      </c>
      <c r="AE304" s="97">
        <f t="shared" si="88"/>
        <v>0</v>
      </c>
      <c r="AF304" s="415" t="str">
        <f t="shared" si="77"/>
        <v>NA</v>
      </c>
      <c r="AG304" s="420" t="str">
        <f t="shared" si="89"/>
        <v>NA</v>
      </c>
      <c r="AH304" s="420" t="str">
        <f t="shared" si="90"/>
        <v>NA</v>
      </c>
      <c r="AI304" s="417" t="str">
        <f t="shared" si="78"/>
        <v>NA</v>
      </c>
      <c r="AJ304" s="417" t="str">
        <f t="shared" si="91"/>
        <v>NA</v>
      </c>
      <c r="AK304" s="524" t="str">
        <f>IFERROR(INDEX('Legacy Resident Reference'!R:R,MATCH('Unit Summary - Rent Roll'!AJ304,'Legacy Resident Reference'!P:P,0)),"NA")</f>
        <v>NA</v>
      </c>
    </row>
    <row r="305" spans="2:37" ht="13.8" hidden="1" outlineLevel="1" x14ac:dyDescent="0.3">
      <c r="B305" s="236">
        <v>279</v>
      </c>
      <c r="C305" s="580" t="s">
        <v>143</v>
      </c>
      <c r="D305" s="581"/>
      <c r="E305" s="186" t="s">
        <v>139</v>
      </c>
      <c r="F305" s="187">
        <v>0</v>
      </c>
      <c r="G305" s="239" t="s">
        <v>85</v>
      </c>
      <c r="H305" s="243">
        <v>0</v>
      </c>
      <c r="I305" s="373">
        <f t="shared" si="79"/>
        <v>0</v>
      </c>
      <c r="J305" s="250" t="s">
        <v>139</v>
      </c>
      <c r="K305" s="508" t="s">
        <v>139</v>
      </c>
      <c r="L305" s="399" t="s">
        <v>139</v>
      </c>
      <c r="M305" s="403">
        <v>0</v>
      </c>
      <c r="N305" s="282" t="s">
        <v>139</v>
      </c>
      <c r="O305" s="302" t="str">
        <f>IF(OR(M305=0,N305="NA"),"NA",IFERROR(INDEX('Data - Reference'!$B$37:$B$50,MATCH('Unit Summary - Rent Roll'!$M305,INDEX('Data - Reference'!$B$37:$J$50,,MATCH('Unit Summary - Rent Roll'!$N305,'Data - Reference'!$B$37:$J$37,0)),-1),1),"NA"))</f>
        <v>NA</v>
      </c>
      <c r="P305" s="239" t="s">
        <v>85</v>
      </c>
      <c r="Q305" s="239" t="s">
        <v>85</v>
      </c>
      <c r="R305" s="188">
        <v>0</v>
      </c>
      <c r="S305" s="364">
        <f t="shared" si="80"/>
        <v>0</v>
      </c>
      <c r="T305" s="97">
        <f t="shared" si="81"/>
        <v>0</v>
      </c>
      <c r="U305" s="188">
        <v>0</v>
      </c>
      <c r="V305" s="364">
        <f t="shared" si="82"/>
        <v>0</v>
      </c>
      <c r="W305" s="97">
        <f t="shared" si="83"/>
        <v>0</v>
      </c>
      <c r="X305" s="71">
        <f>IFERROR(IF(INDEX(AC$14:AC$18,MATCH($E305,$AB$14:$AB$18,0))&lt;&gt;0,INDEX(AC$14:AC$18,MATCH($E305,$AB$14:$AB$18,0)),
IF($M305="Market",0,IF($L305="HUD FMR",INDEX('Data - Reference'!$B$31:$G$31,MATCH($E305,'Data - Reference'!$B$9:$G$9,0)),INDEX('Data - Reference'!$B$9:$G$31,MATCH($K305,'Data - Reference'!$B$9:$B$31,0),MATCH($E305,'Data - Reference'!$B$9:$G$9,0))))),0)</f>
        <v>0</v>
      </c>
      <c r="Y305" s="71">
        <f>IFERROR(IF(INDEX(AD$14:AD$18,MATCH($E305,$AB$14:$AB$18,0))&lt;&gt;0,INDEX(AD$14:AD$18,MATCH($E305,$AB$14:$AB$18,0)),
IF($K305="None - Market",0,-INDEX('Data - Reference'!$B$32:$G$32,MATCH($E305,'Data - Reference'!$B$9:$G$9,0)))),0)</f>
        <v>0</v>
      </c>
      <c r="Z305" s="74">
        <f t="shared" si="76"/>
        <v>0</v>
      </c>
      <c r="AA305" s="67">
        <f t="shared" si="84"/>
        <v>0</v>
      </c>
      <c r="AB305" s="97">
        <f t="shared" si="85"/>
        <v>0</v>
      </c>
      <c r="AC305" s="82">
        <f t="shared" si="86"/>
        <v>0</v>
      </c>
      <c r="AD305" s="83">
        <f t="shared" si="87"/>
        <v>0</v>
      </c>
      <c r="AE305" s="97">
        <f t="shared" si="88"/>
        <v>0</v>
      </c>
      <c r="AF305" s="415" t="str">
        <f t="shared" si="77"/>
        <v>NA</v>
      </c>
      <c r="AG305" s="420" t="str">
        <f t="shared" si="89"/>
        <v>NA</v>
      </c>
      <c r="AH305" s="420" t="str">
        <f t="shared" si="90"/>
        <v>NA</v>
      </c>
      <c r="AI305" s="417" t="str">
        <f t="shared" si="78"/>
        <v>NA</v>
      </c>
      <c r="AJ305" s="417" t="str">
        <f t="shared" si="91"/>
        <v>NA</v>
      </c>
      <c r="AK305" s="524" t="str">
        <f>IFERROR(INDEX('Legacy Resident Reference'!R:R,MATCH('Unit Summary - Rent Roll'!AJ305,'Legacy Resident Reference'!P:P,0)),"NA")</f>
        <v>NA</v>
      </c>
    </row>
    <row r="306" spans="2:37" ht="13.8" hidden="1" outlineLevel="1" x14ac:dyDescent="0.3">
      <c r="B306" s="236">
        <v>280</v>
      </c>
      <c r="C306" s="580" t="s">
        <v>143</v>
      </c>
      <c r="D306" s="581"/>
      <c r="E306" s="186" t="s">
        <v>139</v>
      </c>
      <c r="F306" s="187">
        <v>0</v>
      </c>
      <c r="G306" s="239" t="s">
        <v>85</v>
      </c>
      <c r="H306" s="243">
        <v>0</v>
      </c>
      <c r="I306" s="373">
        <f t="shared" si="79"/>
        <v>0</v>
      </c>
      <c r="J306" s="250" t="s">
        <v>139</v>
      </c>
      <c r="K306" s="508" t="s">
        <v>139</v>
      </c>
      <c r="L306" s="399" t="s">
        <v>139</v>
      </c>
      <c r="M306" s="403">
        <v>0</v>
      </c>
      <c r="N306" s="282" t="s">
        <v>139</v>
      </c>
      <c r="O306" s="302" t="str">
        <f>IF(OR(M306=0,N306="NA"),"NA",IFERROR(INDEX('Data - Reference'!$B$37:$B$50,MATCH('Unit Summary - Rent Roll'!$M306,INDEX('Data - Reference'!$B$37:$J$50,,MATCH('Unit Summary - Rent Roll'!$N306,'Data - Reference'!$B$37:$J$37,0)),-1),1),"NA"))</f>
        <v>NA</v>
      </c>
      <c r="P306" s="239" t="s">
        <v>85</v>
      </c>
      <c r="Q306" s="239" t="s">
        <v>85</v>
      </c>
      <c r="R306" s="188">
        <v>0</v>
      </c>
      <c r="S306" s="364">
        <f t="shared" si="80"/>
        <v>0</v>
      </c>
      <c r="T306" s="97">
        <f t="shared" si="81"/>
        <v>0</v>
      </c>
      <c r="U306" s="188">
        <v>0</v>
      </c>
      <c r="V306" s="364">
        <f t="shared" si="82"/>
        <v>0</v>
      </c>
      <c r="W306" s="97">
        <f t="shared" si="83"/>
        <v>0</v>
      </c>
      <c r="X306" s="71">
        <f>IFERROR(IF(INDEX(AC$14:AC$18,MATCH($E306,$AB$14:$AB$18,0))&lt;&gt;0,INDEX(AC$14:AC$18,MATCH($E306,$AB$14:$AB$18,0)),
IF($M306="Market",0,IF($L306="HUD FMR",INDEX('Data - Reference'!$B$31:$G$31,MATCH($E306,'Data - Reference'!$B$9:$G$9,0)),INDEX('Data - Reference'!$B$9:$G$31,MATCH($K306,'Data - Reference'!$B$9:$B$31,0),MATCH($E306,'Data - Reference'!$B$9:$G$9,0))))),0)</f>
        <v>0</v>
      </c>
      <c r="Y306" s="71">
        <f>IFERROR(IF(INDEX(AD$14:AD$18,MATCH($E306,$AB$14:$AB$18,0))&lt;&gt;0,INDEX(AD$14:AD$18,MATCH($E306,$AB$14:$AB$18,0)),
IF($K306="None - Market",0,-INDEX('Data - Reference'!$B$32:$G$32,MATCH($E306,'Data - Reference'!$B$9:$G$9,0)))),0)</f>
        <v>0</v>
      </c>
      <c r="Z306" s="74">
        <f t="shared" si="76"/>
        <v>0</v>
      </c>
      <c r="AA306" s="67">
        <f t="shared" si="84"/>
        <v>0</v>
      </c>
      <c r="AB306" s="97">
        <f t="shared" si="85"/>
        <v>0</v>
      </c>
      <c r="AC306" s="82">
        <f t="shared" si="86"/>
        <v>0</v>
      </c>
      <c r="AD306" s="83">
        <f t="shared" si="87"/>
        <v>0</v>
      </c>
      <c r="AE306" s="97">
        <f t="shared" si="88"/>
        <v>0</v>
      </c>
      <c r="AF306" s="415" t="str">
        <f t="shared" si="77"/>
        <v>NA</v>
      </c>
      <c r="AG306" s="420" t="str">
        <f t="shared" si="89"/>
        <v>NA</v>
      </c>
      <c r="AH306" s="420" t="str">
        <f t="shared" si="90"/>
        <v>NA</v>
      </c>
      <c r="AI306" s="417" t="str">
        <f t="shared" si="78"/>
        <v>NA</v>
      </c>
      <c r="AJ306" s="417" t="str">
        <f t="shared" si="91"/>
        <v>NA</v>
      </c>
      <c r="AK306" s="524" t="str">
        <f>IFERROR(INDEX('Legacy Resident Reference'!R:R,MATCH('Unit Summary - Rent Roll'!AJ306,'Legacy Resident Reference'!P:P,0)),"NA")</f>
        <v>NA</v>
      </c>
    </row>
    <row r="307" spans="2:37" ht="13.8" hidden="1" outlineLevel="1" x14ac:dyDescent="0.3">
      <c r="B307" s="236">
        <v>281</v>
      </c>
      <c r="C307" s="580" t="s">
        <v>143</v>
      </c>
      <c r="D307" s="581"/>
      <c r="E307" s="186" t="s">
        <v>139</v>
      </c>
      <c r="F307" s="187">
        <v>0</v>
      </c>
      <c r="G307" s="239" t="s">
        <v>85</v>
      </c>
      <c r="H307" s="243">
        <v>0</v>
      </c>
      <c r="I307" s="373">
        <f t="shared" si="79"/>
        <v>0</v>
      </c>
      <c r="J307" s="250" t="s">
        <v>139</v>
      </c>
      <c r="K307" s="508" t="s">
        <v>139</v>
      </c>
      <c r="L307" s="399" t="s">
        <v>139</v>
      </c>
      <c r="M307" s="403">
        <v>0</v>
      </c>
      <c r="N307" s="282" t="s">
        <v>139</v>
      </c>
      <c r="O307" s="302" t="str">
        <f>IF(OR(M307=0,N307="NA"),"NA",IFERROR(INDEX('Data - Reference'!$B$37:$B$50,MATCH('Unit Summary - Rent Roll'!$M307,INDEX('Data - Reference'!$B$37:$J$50,,MATCH('Unit Summary - Rent Roll'!$N307,'Data - Reference'!$B$37:$J$37,0)),-1),1),"NA"))</f>
        <v>NA</v>
      </c>
      <c r="P307" s="239" t="s">
        <v>85</v>
      </c>
      <c r="Q307" s="239" t="s">
        <v>85</v>
      </c>
      <c r="R307" s="188">
        <v>0</v>
      </c>
      <c r="S307" s="364">
        <f t="shared" si="80"/>
        <v>0</v>
      </c>
      <c r="T307" s="97">
        <f t="shared" si="81"/>
        <v>0</v>
      </c>
      <c r="U307" s="188">
        <v>0</v>
      </c>
      <c r="V307" s="364">
        <f t="shared" si="82"/>
        <v>0</v>
      </c>
      <c r="W307" s="97">
        <f t="shared" si="83"/>
        <v>0</v>
      </c>
      <c r="X307" s="71">
        <f>IFERROR(IF(INDEX(AC$14:AC$18,MATCH($E307,$AB$14:$AB$18,0))&lt;&gt;0,INDEX(AC$14:AC$18,MATCH($E307,$AB$14:$AB$18,0)),
IF($M307="Market",0,IF($L307="HUD FMR",INDEX('Data - Reference'!$B$31:$G$31,MATCH($E307,'Data - Reference'!$B$9:$G$9,0)),INDEX('Data - Reference'!$B$9:$G$31,MATCH($K307,'Data - Reference'!$B$9:$B$31,0),MATCH($E307,'Data - Reference'!$B$9:$G$9,0))))),0)</f>
        <v>0</v>
      </c>
      <c r="Y307" s="71">
        <f>IFERROR(IF(INDEX(AD$14:AD$18,MATCH($E307,$AB$14:$AB$18,0))&lt;&gt;0,INDEX(AD$14:AD$18,MATCH($E307,$AB$14:$AB$18,0)),
IF($K307="None - Market",0,-INDEX('Data - Reference'!$B$32:$G$32,MATCH($E307,'Data - Reference'!$B$9:$G$9,0)))),0)</f>
        <v>0</v>
      </c>
      <c r="Z307" s="74">
        <f t="shared" si="76"/>
        <v>0</v>
      </c>
      <c r="AA307" s="67">
        <f t="shared" si="84"/>
        <v>0</v>
      </c>
      <c r="AB307" s="97">
        <f t="shared" si="85"/>
        <v>0</v>
      </c>
      <c r="AC307" s="82">
        <f t="shared" si="86"/>
        <v>0</v>
      </c>
      <c r="AD307" s="83">
        <f t="shared" si="87"/>
        <v>0</v>
      </c>
      <c r="AE307" s="97">
        <f t="shared" si="88"/>
        <v>0</v>
      </c>
      <c r="AF307" s="415" t="str">
        <f t="shared" si="77"/>
        <v>NA</v>
      </c>
      <c r="AG307" s="420" t="str">
        <f t="shared" si="89"/>
        <v>NA</v>
      </c>
      <c r="AH307" s="420" t="str">
        <f t="shared" si="90"/>
        <v>NA</v>
      </c>
      <c r="AI307" s="417" t="str">
        <f t="shared" si="78"/>
        <v>NA</v>
      </c>
      <c r="AJ307" s="417" t="str">
        <f t="shared" si="91"/>
        <v>NA</v>
      </c>
      <c r="AK307" s="524" t="str">
        <f>IFERROR(INDEX('Legacy Resident Reference'!R:R,MATCH('Unit Summary - Rent Roll'!AJ307,'Legacy Resident Reference'!P:P,0)),"NA")</f>
        <v>NA</v>
      </c>
    </row>
    <row r="308" spans="2:37" ht="13.8" hidden="1" outlineLevel="1" x14ac:dyDescent="0.3">
      <c r="B308" s="236">
        <v>282</v>
      </c>
      <c r="C308" s="580" t="s">
        <v>143</v>
      </c>
      <c r="D308" s="581"/>
      <c r="E308" s="186" t="s">
        <v>139</v>
      </c>
      <c r="F308" s="187">
        <v>0</v>
      </c>
      <c r="G308" s="239" t="s">
        <v>85</v>
      </c>
      <c r="H308" s="243">
        <v>0</v>
      </c>
      <c r="I308" s="373">
        <f t="shared" si="79"/>
        <v>0</v>
      </c>
      <c r="J308" s="250" t="s">
        <v>139</v>
      </c>
      <c r="K308" s="508" t="s">
        <v>139</v>
      </c>
      <c r="L308" s="399" t="s">
        <v>139</v>
      </c>
      <c r="M308" s="403">
        <v>0</v>
      </c>
      <c r="N308" s="282" t="s">
        <v>139</v>
      </c>
      <c r="O308" s="302" t="str">
        <f>IF(OR(M308=0,N308="NA"),"NA",IFERROR(INDEX('Data - Reference'!$B$37:$B$50,MATCH('Unit Summary - Rent Roll'!$M308,INDEX('Data - Reference'!$B$37:$J$50,,MATCH('Unit Summary - Rent Roll'!$N308,'Data - Reference'!$B$37:$J$37,0)),-1),1),"NA"))</f>
        <v>NA</v>
      </c>
      <c r="P308" s="239" t="s">
        <v>85</v>
      </c>
      <c r="Q308" s="239" t="s">
        <v>85</v>
      </c>
      <c r="R308" s="188">
        <v>0</v>
      </c>
      <c r="S308" s="364">
        <f t="shared" si="80"/>
        <v>0</v>
      </c>
      <c r="T308" s="97">
        <f t="shared" si="81"/>
        <v>0</v>
      </c>
      <c r="U308" s="188">
        <v>0</v>
      </c>
      <c r="V308" s="364">
        <f t="shared" si="82"/>
        <v>0</v>
      </c>
      <c r="W308" s="97">
        <f t="shared" si="83"/>
        <v>0</v>
      </c>
      <c r="X308" s="71">
        <f>IFERROR(IF(INDEX(AC$14:AC$18,MATCH($E308,$AB$14:$AB$18,0))&lt;&gt;0,INDEX(AC$14:AC$18,MATCH($E308,$AB$14:$AB$18,0)),
IF($M308="Market",0,IF($L308="HUD FMR",INDEX('Data - Reference'!$B$31:$G$31,MATCH($E308,'Data - Reference'!$B$9:$G$9,0)),INDEX('Data - Reference'!$B$9:$G$31,MATCH($K308,'Data - Reference'!$B$9:$B$31,0),MATCH($E308,'Data - Reference'!$B$9:$G$9,0))))),0)</f>
        <v>0</v>
      </c>
      <c r="Y308" s="71">
        <f>IFERROR(IF(INDEX(AD$14:AD$18,MATCH($E308,$AB$14:$AB$18,0))&lt;&gt;0,INDEX(AD$14:AD$18,MATCH($E308,$AB$14:$AB$18,0)),
IF($K308="None - Market",0,-INDEX('Data - Reference'!$B$32:$G$32,MATCH($E308,'Data - Reference'!$B$9:$G$9,0)))),0)</f>
        <v>0</v>
      </c>
      <c r="Z308" s="74">
        <f t="shared" si="76"/>
        <v>0</v>
      </c>
      <c r="AA308" s="67">
        <f t="shared" si="84"/>
        <v>0</v>
      </c>
      <c r="AB308" s="97">
        <f t="shared" si="85"/>
        <v>0</v>
      </c>
      <c r="AC308" s="82">
        <f t="shared" si="86"/>
        <v>0</v>
      </c>
      <c r="AD308" s="83">
        <f t="shared" si="87"/>
        <v>0</v>
      </c>
      <c r="AE308" s="97">
        <f t="shared" si="88"/>
        <v>0</v>
      </c>
      <c r="AF308" s="415" t="str">
        <f t="shared" si="77"/>
        <v>NA</v>
      </c>
      <c r="AG308" s="420" t="str">
        <f t="shared" si="89"/>
        <v>NA</v>
      </c>
      <c r="AH308" s="420" t="str">
        <f t="shared" si="90"/>
        <v>NA</v>
      </c>
      <c r="AI308" s="417" t="str">
        <f t="shared" si="78"/>
        <v>NA</v>
      </c>
      <c r="AJ308" s="417" t="str">
        <f t="shared" si="91"/>
        <v>NA</v>
      </c>
      <c r="AK308" s="524" t="str">
        <f>IFERROR(INDEX('Legacy Resident Reference'!R:R,MATCH('Unit Summary - Rent Roll'!AJ308,'Legacy Resident Reference'!P:P,0)),"NA")</f>
        <v>NA</v>
      </c>
    </row>
    <row r="309" spans="2:37" ht="13.8" hidden="1" outlineLevel="1" x14ac:dyDescent="0.3">
      <c r="B309" s="236">
        <v>283</v>
      </c>
      <c r="C309" s="580" t="s">
        <v>143</v>
      </c>
      <c r="D309" s="581"/>
      <c r="E309" s="186" t="s">
        <v>139</v>
      </c>
      <c r="F309" s="187">
        <v>0</v>
      </c>
      <c r="G309" s="239" t="s">
        <v>85</v>
      </c>
      <c r="H309" s="243">
        <v>0</v>
      </c>
      <c r="I309" s="373">
        <f t="shared" si="79"/>
        <v>0</v>
      </c>
      <c r="J309" s="250" t="s">
        <v>139</v>
      </c>
      <c r="K309" s="508" t="s">
        <v>139</v>
      </c>
      <c r="L309" s="399" t="s">
        <v>139</v>
      </c>
      <c r="M309" s="403">
        <v>0</v>
      </c>
      <c r="N309" s="282" t="s">
        <v>139</v>
      </c>
      <c r="O309" s="302" t="str">
        <f>IF(OR(M309=0,N309="NA"),"NA",IFERROR(INDEX('Data - Reference'!$B$37:$B$50,MATCH('Unit Summary - Rent Roll'!$M309,INDEX('Data - Reference'!$B$37:$J$50,,MATCH('Unit Summary - Rent Roll'!$N309,'Data - Reference'!$B$37:$J$37,0)),-1),1),"NA"))</f>
        <v>NA</v>
      </c>
      <c r="P309" s="239" t="s">
        <v>85</v>
      </c>
      <c r="Q309" s="239" t="s">
        <v>85</v>
      </c>
      <c r="R309" s="188">
        <v>0</v>
      </c>
      <c r="S309" s="364">
        <f t="shared" si="80"/>
        <v>0</v>
      </c>
      <c r="T309" s="97">
        <f t="shared" si="81"/>
        <v>0</v>
      </c>
      <c r="U309" s="188">
        <v>0</v>
      </c>
      <c r="V309" s="364">
        <f t="shared" si="82"/>
        <v>0</v>
      </c>
      <c r="W309" s="97">
        <f t="shared" si="83"/>
        <v>0</v>
      </c>
      <c r="X309" s="71">
        <f>IFERROR(IF(INDEX(AC$14:AC$18,MATCH($E309,$AB$14:$AB$18,0))&lt;&gt;0,INDEX(AC$14:AC$18,MATCH($E309,$AB$14:$AB$18,0)),
IF($M309="Market",0,IF($L309="HUD FMR",INDEX('Data - Reference'!$B$31:$G$31,MATCH($E309,'Data - Reference'!$B$9:$G$9,0)),INDEX('Data - Reference'!$B$9:$G$31,MATCH($K309,'Data - Reference'!$B$9:$B$31,0),MATCH($E309,'Data - Reference'!$B$9:$G$9,0))))),0)</f>
        <v>0</v>
      </c>
      <c r="Y309" s="71">
        <f>IFERROR(IF(INDEX(AD$14:AD$18,MATCH($E309,$AB$14:$AB$18,0))&lt;&gt;0,INDEX(AD$14:AD$18,MATCH($E309,$AB$14:$AB$18,0)),
IF($K309="None - Market",0,-INDEX('Data - Reference'!$B$32:$G$32,MATCH($E309,'Data - Reference'!$B$9:$G$9,0)))),0)</f>
        <v>0</v>
      </c>
      <c r="Z309" s="74">
        <f t="shared" si="76"/>
        <v>0</v>
      </c>
      <c r="AA309" s="67">
        <f t="shared" si="84"/>
        <v>0</v>
      </c>
      <c r="AB309" s="97">
        <f t="shared" si="85"/>
        <v>0</v>
      </c>
      <c r="AC309" s="82">
        <f t="shared" si="86"/>
        <v>0</v>
      </c>
      <c r="AD309" s="83">
        <f t="shared" si="87"/>
        <v>0</v>
      </c>
      <c r="AE309" s="97">
        <f t="shared" si="88"/>
        <v>0</v>
      </c>
      <c r="AF309" s="415" t="str">
        <f t="shared" si="77"/>
        <v>NA</v>
      </c>
      <c r="AG309" s="420" t="str">
        <f t="shared" si="89"/>
        <v>NA</v>
      </c>
      <c r="AH309" s="420" t="str">
        <f t="shared" si="90"/>
        <v>NA</v>
      </c>
      <c r="AI309" s="417" t="str">
        <f t="shared" si="78"/>
        <v>NA</v>
      </c>
      <c r="AJ309" s="417" t="str">
        <f t="shared" si="91"/>
        <v>NA</v>
      </c>
      <c r="AK309" s="524" t="str">
        <f>IFERROR(INDEX('Legacy Resident Reference'!R:R,MATCH('Unit Summary - Rent Roll'!AJ309,'Legacy Resident Reference'!P:P,0)),"NA")</f>
        <v>NA</v>
      </c>
    </row>
    <row r="310" spans="2:37" ht="13.8" hidden="1" outlineLevel="1" x14ac:dyDescent="0.3">
      <c r="B310" s="236">
        <v>284</v>
      </c>
      <c r="C310" s="580" t="s">
        <v>143</v>
      </c>
      <c r="D310" s="581"/>
      <c r="E310" s="186" t="s">
        <v>139</v>
      </c>
      <c r="F310" s="187">
        <v>0</v>
      </c>
      <c r="G310" s="239" t="s">
        <v>85</v>
      </c>
      <c r="H310" s="243">
        <v>0</v>
      </c>
      <c r="I310" s="373">
        <f t="shared" si="79"/>
        <v>0</v>
      </c>
      <c r="J310" s="250" t="s">
        <v>139</v>
      </c>
      <c r="K310" s="508" t="s">
        <v>139</v>
      </c>
      <c r="L310" s="399" t="s">
        <v>139</v>
      </c>
      <c r="M310" s="403">
        <v>0</v>
      </c>
      <c r="N310" s="282" t="s">
        <v>139</v>
      </c>
      <c r="O310" s="302" t="str">
        <f>IF(OR(M310=0,N310="NA"),"NA",IFERROR(INDEX('Data - Reference'!$B$37:$B$50,MATCH('Unit Summary - Rent Roll'!$M310,INDEX('Data - Reference'!$B$37:$J$50,,MATCH('Unit Summary - Rent Roll'!$N310,'Data - Reference'!$B$37:$J$37,0)),-1),1),"NA"))</f>
        <v>NA</v>
      </c>
      <c r="P310" s="239" t="s">
        <v>85</v>
      </c>
      <c r="Q310" s="239" t="s">
        <v>85</v>
      </c>
      <c r="R310" s="188">
        <v>0</v>
      </c>
      <c r="S310" s="364">
        <f t="shared" si="80"/>
        <v>0</v>
      </c>
      <c r="T310" s="97">
        <f t="shared" si="81"/>
        <v>0</v>
      </c>
      <c r="U310" s="188">
        <v>0</v>
      </c>
      <c r="V310" s="364">
        <f t="shared" si="82"/>
        <v>0</v>
      </c>
      <c r="W310" s="97">
        <f t="shared" si="83"/>
        <v>0</v>
      </c>
      <c r="X310" s="71">
        <f>IFERROR(IF(INDEX(AC$14:AC$18,MATCH($E310,$AB$14:$AB$18,0))&lt;&gt;0,INDEX(AC$14:AC$18,MATCH($E310,$AB$14:$AB$18,0)),
IF($M310="Market",0,IF($L310="HUD FMR",INDEX('Data - Reference'!$B$31:$G$31,MATCH($E310,'Data - Reference'!$B$9:$G$9,0)),INDEX('Data - Reference'!$B$9:$G$31,MATCH($K310,'Data - Reference'!$B$9:$B$31,0),MATCH($E310,'Data - Reference'!$B$9:$G$9,0))))),0)</f>
        <v>0</v>
      </c>
      <c r="Y310" s="71">
        <f>IFERROR(IF(INDEX(AD$14:AD$18,MATCH($E310,$AB$14:$AB$18,0))&lt;&gt;0,INDEX(AD$14:AD$18,MATCH($E310,$AB$14:$AB$18,0)),
IF($K310="None - Market",0,-INDEX('Data - Reference'!$B$32:$G$32,MATCH($E310,'Data - Reference'!$B$9:$G$9,0)))),0)</f>
        <v>0</v>
      </c>
      <c r="Z310" s="74">
        <f t="shared" si="76"/>
        <v>0</v>
      </c>
      <c r="AA310" s="67">
        <f t="shared" si="84"/>
        <v>0</v>
      </c>
      <c r="AB310" s="97">
        <f t="shared" si="85"/>
        <v>0</v>
      </c>
      <c r="AC310" s="82">
        <f t="shared" si="86"/>
        <v>0</v>
      </c>
      <c r="AD310" s="83">
        <f t="shared" si="87"/>
        <v>0</v>
      </c>
      <c r="AE310" s="97">
        <f t="shared" si="88"/>
        <v>0</v>
      </c>
      <c r="AF310" s="415" t="str">
        <f t="shared" si="77"/>
        <v>NA</v>
      </c>
      <c r="AG310" s="420" t="str">
        <f t="shared" si="89"/>
        <v>NA</v>
      </c>
      <c r="AH310" s="420" t="str">
        <f t="shared" si="90"/>
        <v>NA</v>
      </c>
      <c r="AI310" s="417" t="str">
        <f t="shared" si="78"/>
        <v>NA</v>
      </c>
      <c r="AJ310" s="417" t="str">
        <f t="shared" si="91"/>
        <v>NA</v>
      </c>
      <c r="AK310" s="524" t="str">
        <f>IFERROR(INDEX('Legacy Resident Reference'!R:R,MATCH('Unit Summary - Rent Roll'!AJ310,'Legacy Resident Reference'!P:P,0)),"NA")</f>
        <v>NA</v>
      </c>
    </row>
    <row r="311" spans="2:37" ht="13.8" hidden="1" outlineLevel="1" x14ac:dyDescent="0.3">
      <c r="B311" s="236">
        <v>285</v>
      </c>
      <c r="C311" s="580" t="s">
        <v>143</v>
      </c>
      <c r="D311" s="581"/>
      <c r="E311" s="186" t="s">
        <v>139</v>
      </c>
      <c r="F311" s="187">
        <v>0</v>
      </c>
      <c r="G311" s="239" t="s">
        <v>85</v>
      </c>
      <c r="H311" s="243">
        <v>0</v>
      </c>
      <c r="I311" s="373">
        <f t="shared" si="79"/>
        <v>0</v>
      </c>
      <c r="J311" s="250" t="s">
        <v>139</v>
      </c>
      <c r="K311" s="508" t="s">
        <v>139</v>
      </c>
      <c r="L311" s="399" t="s">
        <v>139</v>
      </c>
      <c r="M311" s="403">
        <v>0</v>
      </c>
      <c r="N311" s="282" t="s">
        <v>139</v>
      </c>
      <c r="O311" s="302" t="str">
        <f>IF(OR(M311=0,N311="NA"),"NA",IFERROR(INDEX('Data - Reference'!$B$37:$B$50,MATCH('Unit Summary - Rent Roll'!$M311,INDEX('Data - Reference'!$B$37:$J$50,,MATCH('Unit Summary - Rent Roll'!$N311,'Data - Reference'!$B$37:$J$37,0)),-1),1),"NA"))</f>
        <v>NA</v>
      </c>
      <c r="P311" s="239" t="s">
        <v>85</v>
      </c>
      <c r="Q311" s="239" t="s">
        <v>85</v>
      </c>
      <c r="R311" s="188">
        <v>0</v>
      </c>
      <c r="S311" s="364">
        <f t="shared" si="80"/>
        <v>0</v>
      </c>
      <c r="T311" s="97">
        <f t="shared" si="81"/>
        <v>0</v>
      </c>
      <c r="U311" s="188">
        <v>0</v>
      </c>
      <c r="V311" s="364">
        <f t="shared" si="82"/>
        <v>0</v>
      </c>
      <c r="W311" s="97">
        <f t="shared" si="83"/>
        <v>0</v>
      </c>
      <c r="X311" s="71">
        <f>IFERROR(IF(INDEX(AC$14:AC$18,MATCH($E311,$AB$14:$AB$18,0))&lt;&gt;0,INDEX(AC$14:AC$18,MATCH($E311,$AB$14:$AB$18,0)),
IF($M311="Market",0,IF($L311="HUD FMR",INDEX('Data - Reference'!$B$31:$G$31,MATCH($E311,'Data - Reference'!$B$9:$G$9,0)),INDEX('Data - Reference'!$B$9:$G$31,MATCH($K311,'Data - Reference'!$B$9:$B$31,0),MATCH($E311,'Data - Reference'!$B$9:$G$9,0))))),0)</f>
        <v>0</v>
      </c>
      <c r="Y311" s="71">
        <f>IFERROR(IF(INDEX(AD$14:AD$18,MATCH($E311,$AB$14:$AB$18,0))&lt;&gt;0,INDEX(AD$14:AD$18,MATCH($E311,$AB$14:$AB$18,0)),
IF($K311="None - Market",0,-INDEX('Data - Reference'!$B$32:$G$32,MATCH($E311,'Data - Reference'!$B$9:$G$9,0)))),0)</f>
        <v>0</v>
      </c>
      <c r="Z311" s="74">
        <f t="shared" si="76"/>
        <v>0</v>
      </c>
      <c r="AA311" s="67">
        <f t="shared" si="84"/>
        <v>0</v>
      </c>
      <c r="AB311" s="97">
        <f t="shared" si="85"/>
        <v>0</v>
      </c>
      <c r="AC311" s="82">
        <f t="shared" si="86"/>
        <v>0</v>
      </c>
      <c r="AD311" s="83">
        <f t="shared" si="87"/>
        <v>0</v>
      </c>
      <c r="AE311" s="97">
        <f t="shared" si="88"/>
        <v>0</v>
      </c>
      <c r="AF311" s="415" t="str">
        <f t="shared" si="77"/>
        <v>NA</v>
      </c>
      <c r="AG311" s="420" t="str">
        <f t="shared" si="89"/>
        <v>NA</v>
      </c>
      <c r="AH311" s="420" t="str">
        <f t="shared" si="90"/>
        <v>NA</v>
      </c>
      <c r="AI311" s="417" t="str">
        <f t="shared" si="78"/>
        <v>NA</v>
      </c>
      <c r="AJ311" s="417" t="str">
        <f t="shared" si="91"/>
        <v>NA</v>
      </c>
      <c r="AK311" s="524" t="str">
        <f>IFERROR(INDEX('Legacy Resident Reference'!R:R,MATCH('Unit Summary - Rent Roll'!AJ311,'Legacy Resident Reference'!P:P,0)),"NA")</f>
        <v>NA</v>
      </c>
    </row>
    <row r="312" spans="2:37" ht="13.8" hidden="1" outlineLevel="1" x14ac:dyDescent="0.3">
      <c r="B312" s="236">
        <v>286</v>
      </c>
      <c r="C312" s="580" t="s">
        <v>143</v>
      </c>
      <c r="D312" s="581"/>
      <c r="E312" s="186" t="s">
        <v>139</v>
      </c>
      <c r="F312" s="187">
        <v>0</v>
      </c>
      <c r="G312" s="239" t="s">
        <v>85</v>
      </c>
      <c r="H312" s="243">
        <v>0</v>
      </c>
      <c r="I312" s="373">
        <f t="shared" si="79"/>
        <v>0</v>
      </c>
      <c r="J312" s="250" t="s">
        <v>139</v>
      </c>
      <c r="K312" s="508" t="s">
        <v>139</v>
      </c>
      <c r="L312" s="399" t="s">
        <v>139</v>
      </c>
      <c r="M312" s="403">
        <v>0</v>
      </c>
      <c r="N312" s="282" t="s">
        <v>139</v>
      </c>
      <c r="O312" s="302" t="str">
        <f>IF(OR(M312=0,N312="NA"),"NA",IFERROR(INDEX('Data - Reference'!$B$37:$B$50,MATCH('Unit Summary - Rent Roll'!$M312,INDEX('Data - Reference'!$B$37:$J$50,,MATCH('Unit Summary - Rent Roll'!$N312,'Data - Reference'!$B$37:$J$37,0)),-1),1),"NA"))</f>
        <v>NA</v>
      </c>
      <c r="P312" s="239" t="s">
        <v>85</v>
      </c>
      <c r="Q312" s="239" t="s">
        <v>85</v>
      </c>
      <c r="R312" s="188">
        <v>0</v>
      </c>
      <c r="S312" s="364">
        <f t="shared" si="80"/>
        <v>0</v>
      </c>
      <c r="T312" s="97">
        <f t="shared" si="81"/>
        <v>0</v>
      </c>
      <c r="U312" s="188">
        <v>0</v>
      </c>
      <c r="V312" s="364">
        <f t="shared" si="82"/>
        <v>0</v>
      </c>
      <c r="W312" s="97">
        <f t="shared" si="83"/>
        <v>0</v>
      </c>
      <c r="X312" s="71">
        <f>IFERROR(IF(INDEX(AC$14:AC$18,MATCH($E312,$AB$14:$AB$18,0))&lt;&gt;0,INDEX(AC$14:AC$18,MATCH($E312,$AB$14:$AB$18,0)),
IF($M312="Market",0,IF($L312="HUD FMR",INDEX('Data - Reference'!$B$31:$G$31,MATCH($E312,'Data - Reference'!$B$9:$G$9,0)),INDEX('Data - Reference'!$B$9:$G$31,MATCH($K312,'Data - Reference'!$B$9:$B$31,0),MATCH($E312,'Data - Reference'!$B$9:$G$9,0))))),0)</f>
        <v>0</v>
      </c>
      <c r="Y312" s="71">
        <f>IFERROR(IF(INDEX(AD$14:AD$18,MATCH($E312,$AB$14:$AB$18,0))&lt;&gt;0,INDEX(AD$14:AD$18,MATCH($E312,$AB$14:$AB$18,0)),
IF($K312="None - Market",0,-INDEX('Data - Reference'!$B$32:$G$32,MATCH($E312,'Data - Reference'!$B$9:$G$9,0)))),0)</f>
        <v>0</v>
      </c>
      <c r="Z312" s="74">
        <f t="shared" si="76"/>
        <v>0</v>
      </c>
      <c r="AA312" s="67">
        <f t="shared" si="84"/>
        <v>0</v>
      </c>
      <c r="AB312" s="97">
        <f t="shared" si="85"/>
        <v>0</v>
      </c>
      <c r="AC312" s="82">
        <f t="shared" si="86"/>
        <v>0</v>
      </c>
      <c r="AD312" s="83">
        <f t="shared" si="87"/>
        <v>0</v>
      </c>
      <c r="AE312" s="97">
        <f t="shared" si="88"/>
        <v>0</v>
      </c>
      <c r="AF312" s="415" t="str">
        <f t="shared" si="77"/>
        <v>NA</v>
      </c>
      <c r="AG312" s="420" t="str">
        <f t="shared" si="89"/>
        <v>NA</v>
      </c>
      <c r="AH312" s="420" t="str">
        <f t="shared" si="90"/>
        <v>NA</v>
      </c>
      <c r="AI312" s="417" t="str">
        <f t="shared" si="78"/>
        <v>NA</v>
      </c>
      <c r="AJ312" s="417" t="str">
        <f t="shared" si="91"/>
        <v>NA</v>
      </c>
      <c r="AK312" s="524" t="str">
        <f>IFERROR(INDEX('Legacy Resident Reference'!R:R,MATCH('Unit Summary - Rent Roll'!AJ312,'Legacy Resident Reference'!P:P,0)),"NA")</f>
        <v>NA</v>
      </c>
    </row>
    <row r="313" spans="2:37" ht="13.8" hidden="1" outlineLevel="1" x14ac:dyDescent="0.3">
      <c r="B313" s="236">
        <v>287</v>
      </c>
      <c r="C313" s="580" t="s">
        <v>143</v>
      </c>
      <c r="D313" s="581"/>
      <c r="E313" s="186" t="s">
        <v>139</v>
      </c>
      <c r="F313" s="187">
        <v>0</v>
      </c>
      <c r="G313" s="239" t="s">
        <v>85</v>
      </c>
      <c r="H313" s="243">
        <v>0</v>
      </c>
      <c r="I313" s="373">
        <f t="shared" si="79"/>
        <v>0</v>
      </c>
      <c r="J313" s="250" t="s">
        <v>139</v>
      </c>
      <c r="K313" s="508" t="s">
        <v>139</v>
      </c>
      <c r="L313" s="399" t="s">
        <v>139</v>
      </c>
      <c r="M313" s="403">
        <v>0</v>
      </c>
      <c r="N313" s="282" t="s">
        <v>139</v>
      </c>
      <c r="O313" s="302" t="str">
        <f>IF(OR(M313=0,N313="NA"),"NA",IFERROR(INDEX('Data - Reference'!$B$37:$B$50,MATCH('Unit Summary - Rent Roll'!$M313,INDEX('Data - Reference'!$B$37:$J$50,,MATCH('Unit Summary - Rent Roll'!$N313,'Data - Reference'!$B$37:$J$37,0)),-1),1),"NA"))</f>
        <v>NA</v>
      </c>
      <c r="P313" s="239" t="s">
        <v>85</v>
      </c>
      <c r="Q313" s="239" t="s">
        <v>85</v>
      </c>
      <c r="R313" s="188">
        <v>0</v>
      </c>
      <c r="S313" s="364">
        <f t="shared" si="80"/>
        <v>0</v>
      </c>
      <c r="T313" s="97">
        <f t="shared" si="81"/>
        <v>0</v>
      </c>
      <c r="U313" s="188">
        <v>0</v>
      </c>
      <c r="V313" s="364">
        <f t="shared" si="82"/>
        <v>0</v>
      </c>
      <c r="W313" s="97">
        <f t="shared" si="83"/>
        <v>0</v>
      </c>
      <c r="X313" s="71">
        <f>IFERROR(IF(INDEX(AC$14:AC$18,MATCH($E313,$AB$14:$AB$18,0))&lt;&gt;0,INDEX(AC$14:AC$18,MATCH($E313,$AB$14:$AB$18,0)),
IF($M313="Market",0,IF($L313="HUD FMR",INDEX('Data - Reference'!$B$31:$G$31,MATCH($E313,'Data - Reference'!$B$9:$G$9,0)),INDEX('Data - Reference'!$B$9:$G$31,MATCH($K313,'Data - Reference'!$B$9:$B$31,0),MATCH($E313,'Data - Reference'!$B$9:$G$9,0))))),0)</f>
        <v>0</v>
      </c>
      <c r="Y313" s="71">
        <f>IFERROR(IF(INDEX(AD$14:AD$18,MATCH($E313,$AB$14:$AB$18,0))&lt;&gt;0,INDEX(AD$14:AD$18,MATCH($E313,$AB$14:$AB$18,0)),
IF($K313="None - Market",0,-INDEX('Data - Reference'!$B$32:$G$32,MATCH($E313,'Data - Reference'!$B$9:$G$9,0)))),0)</f>
        <v>0</v>
      </c>
      <c r="Z313" s="74">
        <f t="shared" si="76"/>
        <v>0</v>
      </c>
      <c r="AA313" s="67">
        <f t="shared" si="84"/>
        <v>0</v>
      </c>
      <c r="AB313" s="97">
        <f t="shared" si="85"/>
        <v>0</v>
      </c>
      <c r="AC313" s="82">
        <f t="shared" si="86"/>
        <v>0</v>
      </c>
      <c r="AD313" s="83">
        <f t="shared" si="87"/>
        <v>0</v>
      </c>
      <c r="AE313" s="97">
        <f t="shared" si="88"/>
        <v>0</v>
      </c>
      <c r="AF313" s="415" t="str">
        <f t="shared" si="77"/>
        <v>NA</v>
      </c>
      <c r="AG313" s="420" t="str">
        <f t="shared" si="89"/>
        <v>NA</v>
      </c>
      <c r="AH313" s="420" t="str">
        <f t="shared" si="90"/>
        <v>NA</v>
      </c>
      <c r="AI313" s="417" t="str">
        <f t="shared" si="78"/>
        <v>NA</v>
      </c>
      <c r="AJ313" s="417" t="str">
        <f t="shared" si="91"/>
        <v>NA</v>
      </c>
      <c r="AK313" s="524" t="str">
        <f>IFERROR(INDEX('Legacy Resident Reference'!R:R,MATCH('Unit Summary - Rent Roll'!AJ313,'Legacy Resident Reference'!P:P,0)),"NA")</f>
        <v>NA</v>
      </c>
    </row>
    <row r="314" spans="2:37" ht="13.8" hidden="1" outlineLevel="1" x14ac:dyDescent="0.3">
      <c r="B314" s="236">
        <v>288</v>
      </c>
      <c r="C314" s="580" t="s">
        <v>143</v>
      </c>
      <c r="D314" s="581"/>
      <c r="E314" s="186" t="s">
        <v>139</v>
      </c>
      <c r="F314" s="187">
        <v>0</v>
      </c>
      <c r="G314" s="239" t="s">
        <v>85</v>
      </c>
      <c r="H314" s="243">
        <v>0</v>
      </c>
      <c r="I314" s="373">
        <f t="shared" si="79"/>
        <v>0</v>
      </c>
      <c r="J314" s="250" t="s">
        <v>139</v>
      </c>
      <c r="K314" s="508" t="s">
        <v>139</v>
      </c>
      <c r="L314" s="399" t="s">
        <v>139</v>
      </c>
      <c r="M314" s="403">
        <v>0</v>
      </c>
      <c r="N314" s="282" t="s">
        <v>139</v>
      </c>
      <c r="O314" s="302" t="str">
        <f>IF(OR(M314=0,N314="NA"),"NA",IFERROR(INDEX('Data - Reference'!$B$37:$B$50,MATCH('Unit Summary - Rent Roll'!$M314,INDEX('Data - Reference'!$B$37:$J$50,,MATCH('Unit Summary - Rent Roll'!$N314,'Data - Reference'!$B$37:$J$37,0)),-1),1),"NA"))</f>
        <v>NA</v>
      </c>
      <c r="P314" s="239" t="s">
        <v>85</v>
      </c>
      <c r="Q314" s="239" t="s">
        <v>85</v>
      </c>
      <c r="R314" s="188">
        <v>0</v>
      </c>
      <c r="S314" s="364">
        <f t="shared" si="80"/>
        <v>0</v>
      </c>
      <c r="T314" s="97">
        <f t="shared" si="81"/>
        <v>0</v>
      </c>
      <c r="U314" s="188">
        <v>0</v>
      </c>
      <c r="V314" s="364">
        <f t="shared" si="82"/>
        <v>0</v>
      </c>
      <c r="W314" s="97">
        <f t="shared" si="83"/>
        <v>0</v>
      </c>
      <c r="X314" s="71">
        <f>IFERROR(IF(INDEX(AC$14:AC$18,MATCH($E314,$AB$14:$AB$18,0))&lt;&gt;0,INDEX(AC$14:AC$18,MATCH($E314,$AB$14:$AB$18,0)),
IF($M314="Market",0,IF($L314="HUD FMR",INDEX('Data - Reference'!$B$31:$G$31,MATCH($E314,'Data - Reference'!$B$9:$G$9,0)),INDEX('Data - Reference'!$B$9:$G$31,MATCH($K314,'Data - Reference'!$B$9:$B$31,0),MATCH($E314,'Data - Reference'!$B$9:$G$9,0))))),0)</f>
        <v>0</v>
      </c>
      <c r="Y314" s="71">
        <f>IFERROR(IF(INDEX(AD$14:AD$18,MATCH($E314,$AB$14:$AB$18,0))&lt;&gt;0,INDEX(AD$14:AD$18,MATCH($E314,$AB$14:$AB$18,0)),
IF($K314="None - Market",0,-INDEX('Data - Reference'!$B$32:$G$32,MATCH($E314,'Data - Reference'!$B$9:$G$9,0)))),0)</f>
        <v>0</v>
      </c>
      <c r="Z314" s="74">
        <f t="shared" si="76"/>
        <v>0</v>
      </c>
      <c r="AA314" s="67">
        <f t="shared" si="84"/>
        <v>0</v>
      </c>
      <c r="AB314" s="97">
        <f t="shared" si="85"/>
        <v>0</v>
      </c>
      <c r="AC314" s="82">
        <f t="shared" si="86"/>
        <v>0</v>
      </c>
      <c r="AD314" s="83">
        <f t="shared" si="87"/>
        <v>0</v>
      </c>
      <c r="AE314" s="97">
        <f t="shared" si="88"/>
        <v>0</v>
      </c>
      <c r="AF314" s="415" t="str">
        <f t="shared" si="77"/>
        <v>NA</v>
      </c>
      <c r="AG314" s="420" t="str">
        <f t="shared" si="89"/>
        <v>NA</v>
      </c>
      <c r="AH314" s="420" t="str">
        <f t="shared" si="90"/>
        <v>NA</v>
      </c>
      <c r="AI314" s="417" t="str">
        <f t="shared" si="78"/>
        <v>NA</v>
      </c>
      <c r="AJ314" s="417" t="str">
        <f t="shared" si="91"/>
        <v>NA</v>
      </c>
      <c r="AK314" s="524" t="str">
        <f>IFERROR(INDEX('Legacy Resident Reference'!R:R,MATCH('Unit Summary - Rent Roll'!AJ314,'Legacy Resident Reference'!P:P,0)),"NA")</f>
        <v>NA</v>
      </c>
    </row>
    <row r="315" spans="2:37" ht="13.8" hidden="1" outlineLevel="1" x14ac:dyDescent="0.3">
      <c r="B315" s="236">
        <v>289</v>
      </c>
      <c r="C315" s="580" t="s">
        <v>143</v>
      </c>
      <c r="D315" s="581"/>
      <c r="E315" s="186" t="s">
        <v>139</v>
      </c>
      <c r="F315" s="187">
        <v>0</v>
      </c>
      <c r="G315" s="239" t="s">
        <v>85</v>
      </c>
      <c r="H315" s="243">
        <v>0</v>
      </c>
      <c r="I315" s="373">
        <f t="shared" si="79"/>
        <v>0</v>
      </c>
      <c r="J315" s="250" t="s">
        <v>139</v>
      </c>
      <c r="K315" s="508" t="s">
        <v>139</v>
      </c>
      <c r="L315" s="399" t="s">
        <v>139</v>
      </c>
      <c r="M315" s="403">
        <v>0</v>
      </c>
      <c r="N315" s="282" t="s">
        <v>139</v>
      </c>
      <c r="O315" s="302" t="str">
        <f>IF(OR(M315=0,N315="NA"),"NA",IFERROR(INDEX('Data - Reference'!$B$37:$B$50,MATCH('Unit Summary - Rent Roll'!$M315,INDEX('Data - Reference'!$B$37:$J$50,,MATCH('Unit Summary - Rent Roll'!$N315,'Data - Reference'!$B$37:$J$37,0)),-1),1),"NA"))</f>
        <v>NA</v>
      </c>
      <c r="P315" s="239" t="s">
        <v>85</v>
      </c>
      <c r="Q315" s="239" t="s">
        <v>85</v>
      </c>
      <c r="R315" s="188">
        <v>0</v>
      </c>
      <c r="S315" s="364">
        <f t="shared" si="80"/>
        <v>0</v>
      </c>
      <c r="T315" s="97">
        <f t="shared" si="81"/>
        <v>0</v>
      </c>
      <c r="U315" s="188">
        <v>0</v>
      </c>
      <c r="V315" s="364">
        <f t="shared" si="82"/>
        <v>0</v>
      </c>
      <c r="W315" s="97">
        <f t="shared" si="83"/>
        <v>0</v>
      </c>
      <c r="X315" s="71">
        <f>IFERROR(IF(INDEX(AC$14:AC$18,MATCH($E315,$AB$14:$AB$18,0))&lt;&gt;0,INDEX(AC$14:AC$18,MATCH($E315,$AB$14:$AB$18,0)),
IF($M315="Market",0,IF($L315="HUD FMR",INDEX('Data - Reference'!$B$31:$G$31,MATCH($E315,'Data - Reference'!$B$9:$G$9,0)),INDEX('Data - Reference'!$B$9:$G$31,MATCH($K315,'Data - Reference'!$B$9:$B$31,0),MATCH($E315,'Data - Reference'!$B$9:$G$9,0))))),0)</f>
        <v>0</v>
      </c>
      <c r="Y315" s="71">
        <f>IFERROR(IF(INDEX(AD$14:AD$18,MATCH($E315,$AB$14:$AB$18,0))&lt;&gt;0,INDEX(AD$14:AD$18,MATCH($E315,$AB$14:$AB$18,0)),
IF($K315="None - Market",0,-INDEX('Data - Reference'!$B$32:$G$32,MATCH($E315,'Data - Reference'!$B$9:$G$9,0)))),0)</f>
        <v>0</v>
      </c>
      <c r="Z315" s="74">
        <f t="shared" si="76"/>
        <v>0</v>
      </c>
      <c r="AA315" s="67">
        <f t="shared" si="84"/>
        <v>0</v>
      </c>
      <c r="AB315" s="97">
        <f t="shared" si="85"/>
        <v>0</v>
      </c>
      <c r="AC315" s="82">
        <f t="shared" si="86"/>
        <v>0</v>
      </c>
      <c r="AD315" s="83">
        <f t="shared" si="87"/>
        <v>0</v>
      </c>
      <c r="AE315" s="97">
        <f t="shared" si="88"/>
        <v>0</v>
      </c>
      <c r="AF315" s="415" t="str">
        <f t="shared" si="77"/>
        <v>NA</v>
      </c>
      <c r="AG315" s="420" t="str">
        <f t="shared" si="89"/>
        <v>NA</v>
      </c>
      <c r="AH315" s="420" t="str">
        <f t="shared" si="90"/>
        <v>NA</v>
      </c>
      <c r="AI315" s="417" t="str">
        <f t="shared" si="78"/>
        <v>NA</v>
      </c>
      <c r="AJ315" s="417" t="str">
        <f t="shared" si="91"/>
        <v>NA</v>
      </c>
      <c r="AK315" s="524" t="str">
        <f>IFERROR(INDEX('Legacy Resident Reference'!R:R,MATCH('Unit Summary - Rent Roll'!AJ315,'Legacy Resident Reference'!P:P,0)),"NA")</f>
        <v>NA</v>
      </c>
    </row>
    <row r="316" spans="2:37" ht="13.8" hidden="1" outlineLevel="1" x14ac:dyDescent="0.3">
      <c r="B316" s="236">
        <v>290</v>
      </c>
      <c r="C316" s="580" t="s">
        <v>143</v>
      </c>
      <c r="D316" s="581"/>
      <c r="E316" s="186" t="s">
        <v>139</v>
      </c>
      <c r="F316" s="187">
        <v>0</v>
      </c>
      <c r="G316" s="239" t="s">
        <v>85</v>
      </c>
      <c r="H316" s="243">
        <v>0</v>
      </c>
      <c r="I316" s="373">
        <f t="shared" si="79"/>
        <v>0</v>
      </c>
      <c r="J316" s="250" t="s">
        <v>139</v>
      </c>
      <c r="K316" s="508" t="s">
        <v>139</v>
      </c>
      <c r="L316" s="399" t="s">
        <v>139</v>
      </c>
      <c r="M316" s="403">
        <v>0</v>
      </c>
      <c r="N316" s="282" t="s">
        <v>139</v>
      </c>
      <c r="O316" s="302" t="str">
        <f>IF(OR(M316=0,N316="NA"),"NA",IFERROR(INDEX('Data - Reference'!$B$37:$B$50,MATCH('Unit Summary - Rent Roll'!$M316,INDEX('Data - Reference'!$B$37:$J$50,,MATCH('Unit Summary - Rent Roll'!$N316,'Data - Reference'!$B$37:$J$37,0)),-1),1),"NA"))</f>
        <v>NA</v>
      </c>
      <c r="P316" s="239" t="s">
        <v>85</v>
      </c>
      <c r="Q316" s="239" t="s">
        <v>85</v>
      </c>
      <c r="R316" s="188">
        <v>0</v>
      </c>
      <c r="S316" s="364">
        <f t="shared" si="80"/>
        <v>0</v>
      </c>
      <c r="T316" s="97">
        <f t="shared" si="81"/>
        <v>0</v>
      </c>
      <c r="U316" s="188">
        <v>0</v>
      </c>
      <c r="V316" s="364">
        <f t="shared" si="82"/>
        <v>0</v>
      </c>
      <c r="W316" s="97">
        <f t="shared" si="83"/>
        <v>0</v>
      </c>
      <c r="X316" s="71">
        <f>IFERROR(IF(INDEX(AC$14:AC$18,MATCH($E316,$AB$14:$AB$18,0))&lt;&gt;0,INDEX(AC$14:AC$18,MATCH($E316,$AB$14:$AB$18,0)),
IF($M316="Market",0,IF($L316="HUD FMR",INDEX('Data - Reference'!$B$31:$G$31,MATCH($E316,'Data - Reference'!$B$9:$G$9,0)),INDEX('Data - Reference'!$B$9:$G$31,MATCH($K316,'Data - Reference'!$B$9:$B$31,0),MATCH($E316,'Data - Reference'!$B$9:$G$9,0))))),0)</f>
        <v>0</v>
      </c>
      <c r="Y316" s="71">
        <f>IFERROR(IF(INDEX(AD$14:AD$18,MATCH($E316,$AB$14:$AB$18,0))&lt;&gt;0,INDEX(AD$14:AD$18,MATCH($E316,$AB$14:$AB$18,0)),
IF($K316="None - Market",0,-INDEX('Data - Reference'!$B$32:$G$32,MATCH($E316,'Data - Reference'!$B$9:$G$9,0)))),0)</f>
        <v>0</v>
      </c>
      <c r="Z316" s="74">
        <f t="shared" si="76"/>
        <v>0</v>
      </c>
      <c r="AA316" s="67">
        <f t="shared" si="84"/>
        <v>0</v>
      </c>
      <c r="AB316" s="97">
        <f t="shared" si="85"/>
        <v>0</v>
      </c>
      <c r="AC316" s="82">
        <f t="shared" si="86"/>
        <v>0</v>
      </c>
      <c r="AD316" s="83">
        <f t="shared" si="87"/>
        <v>0</v>
      </c>
      <c r="AE316" s="97">
        <f t="shared" si="88"/>
        <v>0</v>
      </c>
      <c r="AF316" s="415" t="str">
        <f t="shared" si="77"/>
        <v>NA</v>
      </c>
      <c r="AG316" s="420" t="str">
        <f t="shared" si="89"/>
        <v>NA</v>
      </c>
      <c r="AH316" s="420" t="str">
        <f t="shared" si="90"/>
        <v>NA</v>
      </c>
      <c r="AI316" s="417" t="str">
        <f t="shared" si="78"/>
        <v>NA</v>
      </c>
      <c r="AJ316" s="417" t="str">
        <f t="shared" si="91"/>
        <v>NA</v>
      </c>
      <c r="AK316" s="524" t="str">
        <f>IFERROR(INDEX('Legacy Resident Reference'!R:R,MATCH('Unit Summary - Rent Roll'!AJ316,'Legacy Resident Reference'!P:P,0)),"NA")</f>
        <v>NA</v>
      </c>
    </row>
    <row r="317" spans="2:37" ht="13.8" hidden="1" outlineLevel="1" x14ac:dyDescent="0.3">
      <c r="B317" s="236">
        <v>291</v>
      </c>
      <c r="C317" s="580" t="s">
        <v>143</v>
      </c>
      <c r="D317" s="581"/>
      <c r="E317" s="186" t="s">
        <v>139</v>
      </c>
      <c r="F317" s="187">
        <v>0</v>
      </c>
      <c r="G317" s="239" t="s">
        <v>85</v>
      </c>
      <c r="H317" s="243">
        <v>0</v>
      </c>
      <c r="I317" s="373">
        <f t="shared" si="79"/>
        <v>0</v>
      </c>
      <c r="J317" s="250" t="s">
        <v>139</v>
      </c>
      <c r="K317" s="508" t="s">
        <v>139</v>
      </c>
      <c r="L317" s="399" t="s">
        <v>139</v>
      </c>
      <c r="M317" s="403">
        <v>0</v>
      </c>
      <c r="N317" s="282" t="s">
        <v>139</v>
      </c>
      <c r="O317" s="302" t="str">
        <f>IF(OR(M317=0,N317="NA"),"NA",IFERROR(INDEX('Data - Reference'!$B$37:$B$50,MATCH('Unit Summary - Rent Roll'!$M317,INDEX('Data - Reference'!$B$37:$J$50,,MATCH('Unit Summary - Rent Roll'!$N317,'Data - Reference'!$B$37:$J$37,0)),-1),1),"NA"))</f>
        <v>NA</v>
      </c>
      <c r="P317" s="239" t="s">
        <v>85</v>
      </c>
      <c r="Q317" s="239" t="s">
        <v>85</v>
      </c>
      <c r="R317" s="188">
        <v>0</v>
      </c>
      <c r="S317" s="364">
        <f t="shared" si="80"/>
        <v>0</v>
      </c>
      <c r="T317" s="97">
        <f t="shared" si="81"/>
        <v>0</v>
      </c>
      <c r="U317" s="188">
        <v>0</v>
      </c>
      <c r="V317" s="364">
        <f t="shared" si="82"/>
        <v>0</v>
      </c>
      <c r="W317" s="97">
        <f t="shared" si="83"/>
        <v>0</v>
      </c>
      <c r="X317" s="71">
        <f>IFERROR(IF(INDEX(AC$14:AC$18,MATCH($E317,$AB$14:$AB$18,0))&lt;&gt;0,INDEX(AC$14:AC$18,MATCH($E317,$AB$14:$AB$18,0)),
IF($M317="Market",0,IF($L317="HUD FMR",INDEX('Data - Reference'!$B$31:$G$31,MATCH($E317,'Data - Reference'!$B$9:$G$9,0)),INDEX('Data - Reference'!$B$9:$G$31,MATCH($K317,'Data - Reference'!$B$9:$B$31,0),MATCH($E317,'Data - Reference'!$B$9:$G$9,0))))),0)</f>
        <v>0</v>
      </c>
      <c r="Y317" s="71">
        <f>IFERROR(IF(INDEX(AD$14:AD$18,MATCH($E317,$AB$14:$AB$18,0))&lt;&gt;0,INDEX(AD$14:AD$18,MATCH($E317,$AB$14:$AB$18,0)),
IF($K317="None - Market",0,-INDEX('Data - Reference'!$B$32:$G$32,MATCH($E317,'Data - Reference'!$B$9:$G$9,0)))),0)</f>
        <v>0</v>
      </c>
      <c r="Z317" s="74">
        <f t="shared" si="76"/>
        <v>0</v>
      </c>
      <c r="AA317" s="67">
        <f t="shared" si="84"/>
        <v>0</v>
      </c>
      <c r="AB317" s="97">
        <f t="shared" si="85"/>
        <v>0</v>
      </c>
      <c r="AC317" s="82">
        <f t="shared" si="86"/>
        <v>0</v>
      </c>
      <c r="AD317" s="83">
        <f t="shared" si="87"/>
        <v>0</v>
      </c>
      <c r="AE317" s="97">
        <f t="shared" si="88"/>
        <v>0</v>
      </c>
      <c r="AF317" s="415" t="str">
        <f t="shared" si="77"/>
        <v>NA</v>
      </c>
      <c r="AG317" s="420" t="str">
        <f t="shared" si="89"/>
        <v>NA</v>
      </c>
      <c r="AH317" s="420" t="str">
        <f t="shared" si="90"/>
        <v>NA</v>
      </c>
      <c r="AI317" s="417" t="str">
        <f t="shared" si="78"/>
        <v>NA</v>
      </c>
      <c r="AJ317" s="417" t="str">
        <f t="shared" si="91"/>
        <v>NA</v>
      </c>
      <c r="AK317" s="524" t="str">
        <f>IFERROR(INDEX('Legacy Resident Reference'!R:R,MATCH('Unit Summary - Rent Roll'!AJ317,'Legacy Resident Reference'!P:P,0)),"NA")</f>
        <v>NA</v>
      </c>
    </row>
    <row r="318" spans="2:37" ht="13.8" hidden="1" outlineLevel="1" x14ac:dyDescent="0.3">
      <c r="B318" s="236">
        <v>292</v>
      </c>
      <c r="C318" s="580" t="s">
        <v>143</v>
      </c>
      <c r="D318" s="581"/>
      <c r="E318" s="186" t="s">
        <v>139</v>
      </c>
      <c r="F318" s="187">
        <v>0</v>
      </c>
      <c r="G318" s="239" t="s">
        <v>85</v>
      </c>
      <c r="H318" s="243">
        <v>0</v>
      </c>
      <c r="I318" s="373">
        <f t="shared" si="79"/>
        <v>0</v>
      </c>
      <c r="J318" s="250" t="s">
        <v>139</v>
      </c>
      <c r="K318" s="508" t="s">
        <v>139</v>
      </c>
      <c r="L318" s="399" t="s">
        <v>139</v>
      </c>
      <c r="M318" s="403">
        <v>0</v>
      </c>
      <c r="N318" s="282" t="s">
        <v>139</v>
      </c>
      <c r="O318" s="302" t="str">
        <f>IF(OR(M318=0,N318="NA"),"NA",IFERROR(INDEX('Data - Reference'!$B$37:$B$50,MATCH('Unit Summary - Rent Roll'!$M318,INDEX('Data - Reference'!$B$37:$J$50,,MATCH('Unit Summary - Rent Roll'!$N318,'Data - Reference'!$B$37:$J$37,0)),-1),1),"NA"))</f>
        <v>NA</v>
      </c>
      <c r="P318" s="239" t="s">
        <v>85</v>
      </c>
      <c r="Q318" s="239" t="s">
        <v>85</v>
      </c>
      <c r="R318" s="188">
        <v>0</v>
      </c>
      <c r="S318" s="364">
        <f t="shared" si="80"/>
        <v>0</v>
      </c>
      <c r="T318" s="97">
        <f t="shared" si="81"/>
        <v>0</v>
      </c>
      <c r="U318" s="188">
        <v>0</v>
      </c>
      <c r="V318" s="364">
        <f t="shared" si="82"/>
        <v>0</v>
      </c>
      <c r="W318" s="97">
        <f t="shared" si="83"/>
        <v>0</v>
      </c>
      <c r="X318" s="71">
        <f>IFERROR(IF(INDEX(AC$14:AC$18,MATCH($E318,$AB$14:$AB$18,0))&lt;&gt;0,INDEX(AC$14:AC$18,MATCH($E318,$AB$14:$AB$18,0)),
IF($M318="Market",0,IF($L318="HUD FMR",INDEX('Data - Reference'!$B$31:$G$31,MATCH($E318,'Data - Reference'!$B$9:$G$9,0)),INDEX('Data - Reference'!$B$9:$G$31,MATCH($K318,'Data - Reference'!$B$9:$B$31,0),MATCH($E318,'Data - Reference'!$B$9:$G$9,0))))),0)</f>
        <v>0</v>
      </c>
      <c r="Y318" s="71">
        <f>IFERROR(IF(INDEX(AD$14:AD$18,MATCH($E318,$AB$14:$AB$18,0))&lt;&gt;0,INDEX(AD$14:AD$18,MATCH($E318,$AB$14:$AB$18,0)),
IF($K318="None - Market",0,-INDEX('Data - Reference'!$B$32:$G$32,MATCH($E318,'Data - Reference'!$B$9:$G$9,0)))),0)</f>
        <v>0</v>
      </c>
      <c r="Z318" s="74">
        <f t="shared" si="76"/>
        <v>0</v>
      </c>
      <c r="AA318" s="67">
        <f t="shared" si="84"/>
        <v>0</v>
      </c>
      <c r="AB318" s="97">
        <f t="shared" si="85"/>
        <v>0</v>
      </c>
      <c r="AC318" s="82">
        <f t="shared" si="86"/>
        <v>0</v>
      </c>
      <c r="AD318" s="83">
        <f t="shared" si="87"/>
        <v>0</v>
      </c>
      <c r="AE318" s="97">
        <f t="shared" si="88"/>
        <v>0</v>
      </c>
      <c r="AF318" s="415" t="str">
        <f t="shared" si="77"/>
        <v>NA</v>
      </c>
      <c r="AG318" s="420" t="str">
        <f t="shared" si="89"/>
        <v>NA</v>
      </c>
      <c r="AH318" s="420" t="str">
        <f t="shared" si="90"/>
        <v>NA</v>
      </c>
      <c r="AI318" s="417" t="str">
        <f t="shared" si="78"/>
        <v>NA</v>
      </c>
      <c r="AJ318" s="417" t="str">
        <f t="shared" si="91"/>
        <v>NA</v>
      </c>
      <c r="AK318" s="524" t="str">
        <f>IFERROR(INDEX('Legacy Resident Reference'!R:R,MATCH('Unit Summary - Rent Roll'!AJ318,'Legacy Resident Reference'!P:P,0)),"NA")</f>
        <v>NA</v>
      </c>
    </row>
    <row r="319" spans="2:37" ht="13.8" hidden="1" outlineLevel="1" x14ac:dyDescent="0.3">
      <c r="B319" s="236">
        <v>293</v>
      </c>
      <c r="C319" s="580" t="s">
        <v>143</v>
      </c>
      <c r="D319" s="581"/>
      <c r="E319" s="186" t="s">
        <v>139</v>
      </c>
      <c r="F319" s="187">
        <v>0</v>
      </c>
      <c r="G319" s="239" t="s">
        <v>85</v>
      </c>
      <c r="H319" s="243">
        <v>0</v>
      </c>
      <c r="I319" s="373">
        <f t="shared" si="79"/>
        <v>0</v>
      </c>
      <c r="J319" s="250" t="s">
        <v>139</v>
      </c>
      <c r="K319" s="508" t="s">
        <v>139</v>
      </c>
      <c r="L319" s="399" t="s">
        <v>139</v>
      </c>
      <c r="M319" s="403">
        <v>0</v>
      </c>
      <c r="N319" s="282" t="s">
        <v>139</v>
      </c>
      <c r="O319" s="302" t="str">
        <f>IF(OR(M319=0,N319="NA"),"NA",IFERROR(INDEX('Data - Reference'!$B$37:$B$50,MATCH('Unit Summary - Rent Roll'!$M319,INDEX('Data - Reference'!$B$37:$J$50,,MATCH('Unit Summary - Rent Roll'!$N319,'Data - Reference'!$B$37:$J$37,0)),-1),1),"NA"))</f>
        <v>NA</v>
      </c>
      <c r="P319" s="239" t="s">
        <v>85</v>
      </c>
      <c r="Q319" s="239" t="s">
        <v>85</v>
      </c>
      <c r="R319" s="188">
        <v>0</v>
      </c>
      <c r="S319" s="364">
        <f t="shared" si="80"/>
        <v>0</v>
      </c>
      <c r="T319" s="97">
        <f t="shared" si="81"/>
        <v>0</v>
      </c>
      <c r="U319" s="188">
        <v>0</v>
      </c>
      <c r="V319" s="364">
        <f t="shared" si="82"/>
        <v>0</v>
      </c>
      <c r="W319" s="97">
        <f t="shared" si="83"/>
        <v>0</v>
      </c>
      <c r="X319" s="71">
        <f>IFERROR(IF(INDEX(AC$14:AC$18,MATCH($E319,$AB$14:$AB$18,0))&lt;&gt;0,INDEX(AC$14:AC$18,MATCH($E319,$AB$14:$AB$18,0)),
IF($M319="Market",0,IF($L319="HUD FMR",INDEX('Data - Reference'!$B$31:$G$31,MATCH($E319,'Data - Reference'!$B$9:$G$9,0)),INDEX('Data - Reference'!$B$9:$G$31,MATCH($K319,'Data - Reference'!$B$9:$B$31,0),MATCH($E319,'Data - Reference'!$B$9:$G$9,0))))),0)</f>
        <v>0</v>
      </c>
      <c r="Y319" s="71">
        <f>IFERROR(IF(INDEX(AD$14:AD$18,MATCH($E319,$AB$14:$AB$18,0))&lt;&gt;0,INDEX(AD$14:AD$18,MATCH($E319,$AB$14:$AB$18,0)),
IF($K319="None - Market",0,-INDEX('Data - Reference'!$B$32:$G$32,MATCH($E319,'Data - Reference'!$B$9:$G$9,0)))),0)</f>
        <v>0</v>
      </c>
      <c r="Z319" s="74">
        <f t="shared" si="76"/>
        <v>0</v>
      </c>
      <c r="AA319" s="67">
        <f t="shared" si="84"/>
        <v>0</v>
      </c>
      <c r="AB319" s="97">
        <f t="shared" si="85"/>
        <v>0</v>
      </c>
      <c r="AC319" s="82">
        <f t="shared" si="86"/>
        <v>0</v>
      </c>
      <c r="AD319" s="83">
        <f t="shared" si="87"/>
        <v>0</v>
      </c>
      <c r="AE319" s="97">
        <f t="shared" si="88"/>
        <v>0</v>
      </c>
      <c r="AF319" s="415" t="str">
        <f t="shared" si="77"/>
        <v>NA</v>
      </c>
      <c r="AG319" s="420" t="str">
        <f t="shared" si="89"/>
        <v>NA</v>
      </c>
      <c r="AH319" s="420" t="str">
        <f t="shared" si="90"/>
        <v>NA</v>
      </c>
      <c r="AI319" s="417" t="str">
        <f t="shared" si="78"/>
        <v>NA</v>
      </c>
      <c r="AJ319" s="417" t="str">
        <f t="shared" si="91"/>
        <v>NA</v>
      </c>
      <c r="AK319" s="524" t="str">
        <f>IFERROR(INDEX('Legacy Resident Reference'!R:R,MATCH('Unit Summary - Rent Roll'!AJ319,'Legacy Resident Reference'!P:P,0)),"NA")</f>
        <v>NA</v>
      </c>
    </row>
    <row r="320" spans="2:37" ht="13.8" hidden="1" outlineLevel="1" x14ac:dyDescent="0.3">
      <c r="B320" s="236">
        <v>294</v>
      </c>
      <c r="C320" s="580" t="s">
        <v>143</v>
      </c>
      <c r="D320" s="581"/>
      <c r="E320" s="186" t="s">
        <v>139</v>
      </c>
      <c r="F320" s="187">
        <v>0</v>
      </c>
      <c r="G320" s="239" t="s">
        <v>85</v>
      </c>
      <c r="H320" s="243">
        <v>0</v>
      </c>
      <c r="I320" s="373">
        <f t="shared" si="79"/>
        <v>0</v>
      </c>
      <c r="J320" s="250" t="s">
        <v>139</v>
      </c>
      <c r="K320" s="508" t="s">
        <v>139</v>
      </c>
      <c r="L320" s="399" t="s">
        <v>139</v>
      </c>
      <c r="M320" s="403">
        <v>0</v>
      </c>
      <c r="N320" s="282" t="s">
        <v>139</v>
      </c>
      <c r="O320" s="302" t="str">
        <f>IF(OR(M320=0,N320="NA"),"NA",IFERROR(INDEX('Data - Reference'!$B$37:$B$50,MATCH('Unit Summary - Rent Roll'!$M320,INDEX('Data - Reference'!$B$37:$J$50,,MATCH('Unit Summary - Rent Roll'!$N320,'Data - Reference'!$B$37:$J$37,0)),-1),1),"NA"))</f>
        <v>NA</v>
      </c>
      <c r="P320" s="239" t="s">
        <v>85</v>
      </c>
      <c r="Q320" s="239" t="s">
        <v>85</v>
      </c>
      <c r="R320" s="188">
        <v>0</v>
      </c>
      <c r="S320" s="364">
        <f t="shared" si="80"/>
        <v>0</v>
      </c>
      <c r="T320" s="97">
        <f t="shared" si="81"/>
        <v>0</v>
      </c>
      <c r="U320" s="188">
        <v>0</v>
      </c>
      <c r="V320" s="364">
        <f t="shared" si="82"/>
        <v>0</v>
      </c>
      <c r="W320" s="97">
        <f t="shared" si="83"/>
        <v>0</v>
      </c>
      <c r="X320" s="71">
        <f>IFERROR(IF(INDEX(AC$14:AC$18,MATCH($E320,$AB$14:$AB$18,0))&lt;&gt;0,INDEX(AC$14:AC$18,MATCH($E320,$AB$14:$AB$18,0)),
IF($M320="Market",0,IF($L320="HUD FMR",INDEX('Data - Reference'!$B$31:$G$31,MATCH($E320,'Data - Reference'!$B$9:$G$9,0)),INDEX('Data - Reference'!$B$9:$G$31,MATCH($K320,'Data - Reference'!$B$9:$B$31,0),MATCH($E320,'Data - Reference'!$B$9:$G$9,0))))),0)</f>
        <v>0</v>
      </c>
      <c r="Y320" s="71">
        <f>IFERROR(IF(INDEX(AD$14:AD$18,MATCH($E320,$AB$14:$AB$18,0))&lt;&gt;0,INDEX(AD$14:AD$18,MATCH($E320,$AB$14:$AB$18,0)),
IF($K320="None - Market",0,-INDEX('Data - Reference'!$B$32:$G$32,MATCH($E320,'Data - Reference'!$B$9:$G$9,0)))),0)</f>
        <v>0</v>
      </c>
      <c r="Z320" s="74">
        <f t="shared" si="76"/>
        <v>0</v>
      </c>
      <c r="AA320" s="67">
        <f t="shared" si="84"/>
        <v>0</v>
      </c>
      <c r="AB320" s="97">
        <f t="shared" si="85"/>
        <v>0</v>
      </c>
      <c r="AC320" s="82">
        <f t="shared" si="86"/>
        <v>0</v>
      </c>
      <c r="AD320" s="83">
        <f t="shared" si="87"/>
        <v>0</v>
      </c>
      <c r="AE320" s="97">
        <f t="shared" si="88"/>
        <v>0</v>
      </c>
      <c r="AF320" s="415" t="str">
        <f t="shared" si="77"/>
        <v>NA</v>
      </c>
      <c r="AG320" s="420" t="str">
        <f t="shared" si="89"/>
        <v>NA</v>
      </c>
      <c r="AH320" s="420" t="str">
        <f t="shared" si="90"/>
        <v>NA</v>
      </c>
      <c r="AI320" s="417" t="str">
        <f t="shared" si="78"/>
        <v>NA</v>
      </c>
      <c r="AJ320" s="417" t="str">
        <f t="shared" si="91"/>
        <v>NA</v>
      </c>
      <c r="AK320" s="524" t="str">
        <f>IFERROR(INDEX('Legacy Resident Reference'!R:R,MATCH('Unit Summary - Rent Roll'!AJ320,'Legacy Resident Reference'!P:P,0)),"NA")</f>
        <v>NA</v>
      </c>
    </row>
    <row r="321" spans="2:37" ht="13.8" hidden="1" outlineLevel="1" x14ac:dyDescent="0.3">
      <c r="B321" s="236">
        <v>295</v>
      </c>
      <c r="C321" s="580" t="s">
        <v>143</v>
      </c>
      <c r="D321" s="581"/>
      <c r="E321" s="186" t="s">
        <v>139</v>
      </c>
      <c r="F321" s="187">
        <v>0</v>
      </c>
      <c r="G321" s="239" t="s">
        <v>85</v>
      </c>
      <c r="H321" s="243">
        <v>0</v>
      </c>
      <c r="I321" s="373">
        <f t="shared" si="79"/>
        <v>0</v>
      </c>
      <c r="J321" s="250" t="s">
        <v>139</v>
      </c>
      <c r="K321" s="508" t="s">
        <v>139</v>
      </c>
      <c r="L321" s="399" t="s">
        <v>139</v>
      </c>
      <c r="M321" s="403">
        <v>0</v>
      </c>
      <c r="N321" s="282" t="s">
        <v>139</v>
      </c>
      <c r="O321" s="302" t="str">
        <f>IF(OR(M321=0,N321="NA"),"NA",IFERROR(INDEX('Data - Reference'!$B$37:$B$50,MATCH('Unit Summary - Rent Roll'!$M321,INDEX('Data - Reference'!$B$37:$J$50,,MATCH('Unit Summary - Rent Roll'!$N321,'Data - Reference'!$B$37:$J$37,0)),-1),1),"NA"))</f>
        <v>NA</v>
      </c>
      <c r="P321" s="239" t="s">
        <v>85</v>
      </c>
      <c r="Q321" s="239" t="s">
        <v>85</v>
      </c>
      <c r="R321" s="188">
        <v>0</v>
      </c>
      <c r="S321" s="364">
        <f t="shared" si="80"/>
        <v>0</v>
      </c>
      <c r="T321" s="97">
        <f t="shared" si="81"/>
        <v>0</v>
      </c>
      <c r="U321" s="188">
        <v>0</v>
      </c>
      <c r="V321" s="364">
        <f t="shared" si="82"/>
        <v>0</v>
      </c>
      <c r="W321" s="97">
        <f t="shared" si="83"/>
        <v>0</v>
      </c>
      <c r="X321" s="71">
        <f>IFERROR(IF(INDEX(AC$14:AC$18,MATCH($E321,$AB$14:$AB$18,0))&lt;&gt;0,INDEX(AC$14:AC$18,MATCH($E321,$AB$14:$AB$18,0)),
IF($M321="Market",0,IF($L321="HUD FMR",INDEX('Data - Reference'!$B$31:$G$31,MATCH($E321,'Data - Reference'!$B$9:$G$9,0)),INDEX('Data - Reference'!$B$9:$G$31,MATCH($K321,'Data - Reference'!$B$9:$B$31,0),MATCH($E321,'Data - Reference'!$B$9:$G$9,0))))),0)</f>
        <v>0</v>
      </c>
      <c r="Y321" s="71">
        <f>IFERROR(IF(INDEX(AD$14:AD$18,MATCH($E321,$AB$14:$AB$18,0))&lt;&gt;0,INDEX(AD$14:AD$18,MATCH($E321,$AB$14:$AB$18,0)),
IF($K321="None - Market",0,-INDEX('Data - Reference'!$B$32:$G$32,MATCH($E321,'Data - Reference'!$B$9:$G$9,0)))),0)</f>
        <v>0</v>
      </c>
      <c r="Z321" s="74">
        <f t="shared" si="76"/>
        <v>0</v>
      </c>
      <c r="AA321" s="67">
        <f t="shared" si="84"/>
        <v>0</v>
      </c>
      <c r="AB321" s="97">
        <f t="shared" si="85"/>
        <v>0</v>
      </c>
      <c r="AC321" s="82">
        <f t="shared" si="86"/>
        <v>0</v>
      </c>
      <c r="AD321" s="83">
        <f t="shared" si="87"/>
        <v>0</v>
      </c>
      <c r="AE321" s="97">
        <f t="shared" si="88"/>
        <v>0</v>
      </c>
      <c r="AF321" s="415" t="str">
        <f t="shared" si="77"/>
        <v>NA</v>
      </c>
      <c r="AG321" s="420" t="str">
        <f t="shared" si="89"/>
        <v>NA</v>
      </c>
      <c r="AH321" s="420" t="str">
        <f t="shared" si="90"/>
        <v>NA</v>
      </c>
      <c r="AI321" s="417" t="str">
        <f t="shared" si="78"/>
        <v>NA</v>
      </c>
      <c r="AJ321" s="417" t="str">
        <f t="shared" si="91"/>
        <v>NA</v>
      </c>
      <c r="AK321" s="524" t="str">
        <f>IFERROR(INDEX('Legacy Resident Reference'!R:R,MATCH('Unit Summary - Rent Roll'!AJ321,'Legacy Resident Reference'!P:P,0)),"NA")</f>
        <v>NA</v>
      </c>
    </row>
    <row r="322" spans="2:37" ht="13.8" hidden="1" outlineLevel="1" x14ac:dyDescent="0.3">
      <c r="B322" s="236">
        <v>296</v>
      </c>
      <c r="C322" s="580" t="s">
        <v>143</v>
      </c>
      <c r="D322" s="581"/>
      <c r="E322" s="186" t="s">
        <v>139</v>
      </c>
      <c r="F322" s="187">
        <v>0</v>
      </c>
      <c r="G322" s="239" t="s">
        <v>85</v>
      </c>
      <c r="H322" s="243">
        <v>0</v>
      </c>
      <c r="I322" s="373">
        <f t="shared" si="79"/>
        <v>0</v>
      </c>
      <c r="J322" s="250" t="s">
        <v>139</v>
      </c>
      <c r="K322" s="508" t="s">
        <v>139</v>
      </c>
      <c r="L322" s="399" t="s">
        <v>139</v>
      </c>
      <c r="M322" s="403">
        <v>0</v>
      </c>
      <c r="N322" s="282" t="s">
        <v>139</v>
      </c>
      <c r="O322" s="302" t="str">
        <f>IF(OR(M322=0,N322="NA"),"NA",IFERROR(INDEX('Data - Reference'!$B$37:$B$50,MATCH('Unit Summary - Rent Roll'!$M322,INDEX('Data - Reference'!$B$37:$J$50,,MATCH('Unit Summary - Rent Roll'!$N322,'Data - Reference'!$B$37:$J$37,0)),-1),1),"NA"))</f>
        <v>NA</v>
      </c>
      <c r="P322" s="239" t="s">
        <v>85</v>
      </c>
      <c r="Q322" s="239" t="s">
        <v>85</v>
      </c>
      <c r="R322" s="188">
        <v>0</v>
      </c>
      <c r="S322" s="364">
        <f t="shared" si="80"/>
        <v>0</v>
      </c>
      <c r="T322" s="97">
        <f t="shared" si="81"/>
        <v>0</v>
      </c>
      <c r="U322" s="188">
        <v>0</v>
      </c>
      <c r="V322" s="364">
        <f t="shared" si="82"/>
        <v>0</v>
      </c>
      <c r="W322" s="97">
        <f t="shared" si="83"/>
        <v>0</v>
      </c>
      <c r="X322" s="71">
        <f>IFERROR(IF(INDEX(AC$14:AC$18,MATCH($E322,$AB$14:$AB$18,0))&lt;&gt;0,INDEX(AC$14:AC$18,MATCH($E322,$AB$14:$AB$18,0)),
IF($M322="Market",0,IF($L322="HUD FMR",INDEX('Data - Reference'!$B$31:$G$31,MATCH($E322,'Data - Reference'!$B$9:$G$9,0)),INDEX('Data - Reference'!$B$9:$G$31,MATCH($K322,'Data - Reference'!$B$9:$B$31,0),MATCH($E322,'Data - Reference'!$B$9:$G$9,0))))),0)</f>
        <v>0</v>
      </c>
      <c r="Y322" s="71">
        <f>IFERROR(IF(INDEX(AD$14:AD$18,MATCH($E322,$AB$14:$AB$18,0))&lt;&gt;0,INDEX(AD$14:AD$18,MATCH($E322,$AB$14:$AB$18,0)),
IF($K322="None - Market",0,-INDEX('Data - Reference'!$B$32:$G$32,MATCH($E322,'Data - Reference'!$B$9:$G$9,0)))),0)</f>
        <v>0</v>
      </c>
      <c r="Z322" s="74">
        <f t="shared" si="76"/>
        <v>0</v>
      </c>
      <c r="AA322" s="67">
        <f t="shared" si="84"/>
        <v>0</v>
      </c>
      <c r="AB322" s="97">
        <f t="shared" si="85"/>
        <v>0</v>
      </c>
      <c r="AC322" s="82">
        <f t="shared" si="86"/>
        <v>0</v>
      </c>
      <c r="AD322" s="83">
        <f t="shared" si="87"/>
        <v>0</v>
      </c>
      <c r="AE322" s="97">
        <f t="shared" si="88"/>
        <v>0</v>
      </c>
      <c r="AF322" s="415" t="str">
        <f t="shared" si="77"/>
        <v>NA</v>
      </c>
      <c r="AG322" s="420" t="str">
        <f t="shared" si="89"/>
        <v>NA</v>
      </c>
      <c r="AH322" s="420" t="str">
        <f t="shared" si="90"/>
        <v>NA</v>
      </c>
      <c r="AI322" s="417" t="str">
        <f t="shared" si="78"/>
        <v>NA</v>
      </c>
      <c r="AJ322" s="417" t="str">
        <f t="shared" si="91"/>
        <v>NA</v>
      </c>
      <c r="AK322" s="524" t="str">
        <f>IFERROR(INDEX('Legacy Resident Reference'!R:R,MATCH('Unit Summary - Rent Roll'!AJ322,'Legacy Resident Reference'!P:P,0)),"NA")</f>
        <v>NA</v>
      </c>
    </row>
    <row r="323" spans="2:37" ht="13.8" hidden="1" outlineLevel="1" x14ac:dyDescent="0.3">
      <c r="B323" s="236">
        <v>297</v>
      </c>
      <c r="C323" s="580" t="s">
        <v>143</v>
      </c>
      <c r="D323" s="581"/>
      <c r="E323" s="186" t="s">
        <v>139</v>
      </c>
      <c r="F323" s="187">
        <v>0</v>
      </c>
      <c r="G323" s="239" t="s">
        <v>85</v>
      </c>
      <c r="H323" s="243">
        <v>0</v>
      </c>
      <c r="I323" s="373">
        <f t="shared" si="79"/>
        <v>0</v>
      </c>
      <c r="J323" s="250" t="s">
        <v>139</v>
      </c>
      <c r="K323" s="508" t="s">
        <v>139</v>
      </c>
      <c r="L323" s="399" t="s">
        <v>139</v>
      </c>
      <c r="M323" s="403">
        <v>0</v>
      </c>
      <c r="N323" s="282" t="s">
        <v>139</v>
      </c>
      <c r="O323" s="302" t="str">
        <f>IF(OR(M323=0,N323="NA"),"NA",IFERROR(INDEX('Data - Reference'!$B$37:$B$50,MATCH('Unit Summary - Rent Roll'!$M323,INDEX('Data - Reference'!$B$37:$J$50,,MATCH('Unit Summary - Rent Roll'!$N323,'Data - Reference'!$B$37:$J$37,0)),-1),1),"NA"))</f>
        <v>NA</v>
      </c>
      <c r="P323" s="239" t="s">
        <v>85</v>
      </c>
      <c r="Q323" s="239" t="s">
        <v>85</v>
      </c>
      <c r="R323" s="188">
        <v>0</v>
      </c>
      <c r="S323" s="364">
        <f t="shared" si="80"/>
        <v>0</v>
      </c>
      <c r="T323" s="97">
        <f t="shared" si="81"/>
        <v>0</v>
      </c>
      <c r="U323" s="188">
        <v>0</v>
      </c>
      <c r="V323" s="364">
        <f t="shared" si="82"/>
        <v>0</v>
      </c>
      <c r="W323" s="97">
        <f t="shared" si="83"/>
        <v>0</v>
      </c>
      <c r="X323" s="71">
        <f>IFERROR(IF(INDEX(AC$14:AC$18,MATCH($E323,$AB$14:$AB$18,0))&lt;&gt;0,INDEX(AC$14:AC$18,MATCH($E323,$AB$14:$AB$18,0)),
IF($M323="Market",0,IF($L323="HUD FMR",INDEX('Data - Reference'!$B$31:$G$31,MATCH($E323,'Data - Reference'!$B$9:$G$9,0)),INDEX('Data - Reference'!$B$9:$G$31,MATCH($K323,'Data - Reference'!$B$9:$B$31,0),MATCH($E323,'Data - Reference'!$B$9:$G$9,0))))),0)</f>
        <v>0</v>
      </c>
      <c r="Y323" s="71">
        <f>IFERROR(IF(INDEX(AD$14:AD$18,MATCH($E323,$AB$14:$AB$18,0))&lt;&gt;0,INDEX(AD$14:AD$18,MATCH($E323,$AB$14:$AB$18,0)),
IF($K323="None - Market",0,-INDEX('Data - Reference'!$B$32:$G$32,MATCH($E323,'Data - Reference'!$B$9:$G$9,0)))),0)</f>
        <v>0</v>
      </c>
      <c r="Z323" s="74">
        <f t="shared" si="76"/>
        <v>0</v>
      </c>
      <c r="AA323" s="67">
        <f t="shared" si="84"/>
        <v>0</v>
      </c>
      <c r="AB323" s="97">
        <f t="shared" si="85"/>
        <v>0</v>
      </c>
      <c r="AC323" s="82">
        <f t="shared" si="86"/>
        <v>0</v>
      </c>
      <c r="AD323" s="83">
        <f t="shared" si="87"/>
        <v>0</v>
      </c>
      <c r="AE323" s="97">
        <f t="shared" si="88"/>
        <v>0</v>
      </c>
      <c r="AF323" s="415" t="str">
        <f t="shared" si="77"/>
        <v>NA</v>
      </c>
      <c r="AG323" s="420" t="str">
        <f t="shared" si="89"/>
        <v>NA</v>
      </c>
      <c r="AH323" s="420" t="str">
        <f t="shared" si="90"/>
        <v>NA</v>
      </c>
      <c r="AI323" s="417" t="str">
        <f t="shared" si="78"/>
        <v>NA</v>
      </c>
      <c r="AJ323" s="417" t="str">
        <f t="shared" si="91"/>
        <v>NA</v>
      </c>
      <c r="AK323" s="524" t="str">
        <f>IFERROR(INDEX('Legacy Resident Reference'!R:R,MATCH('Unit Summary - Rent Roll'!AJ323,'Legacy Resident Reference'!P:P,0)),"NA")</f>
        <v>NA</v>
      </c>
    </row>
    <row r="324" spans="2:37" ht="13.8" hidden="1" outlineLevel="1" x14ac:dyDescent="0.3">
      <c r="B324" s="236">
        <v>298</v>
      </c>
      <c r="C324" s="580" t="s">
        <v>143</v>
      </c>
      <c r="D324" s="581"/>
      <c r="E324" s="186" t="s">
        <v>139</v>
      </c>
      <c r="F324" s="187">
        <v>0</v>
      </c>
      <c r="G324" s="239" t="s">
        <v>85</v>
      </c>
      <c r="H324" s="243">
        <v>0</v>
      </c>
      <c r="I324" s="373">
        <f t="shared" si="79"/>
        <v>0</v>
      </c>
      <c r="J324" s="250" t="s">
        <v>139</v>
      </c>
      <c r="K324" s="508" t="s">
        <v>139</v>
      </c>
      <c r="L324" s="399" t="s">
        <v>139</v>
      </c>
      <c r="M324" s="403">
        <v>0</v>
      </c>
      <c r="N324" s="282" t="s">
        <v>139</v>
      </c>
      <c r="O324" s="302" t="str">
        <f>IF(OR(M324=0,N324="NA"),"NA",IFERROR(INDEX('Data - Reference'!$B$37:$B$50,MATCH('Unit Summary - Rent Roll'!$M324,INDEX('Data - Reference'!$B$37:$J$50,,MATCH('Unit Summary - Rent Roll'!$N324,'Data - Reference'!$B$37:$J$37,0)),-1),1),"NA"))</f>
        <v>NA</v>
      </c>
      <c r="P324" s="239" t="s">
        <v>85</v>
      </c>
      <c r="Q324" s="239" t="s">
        <v>85</v>
      </c>
      <c r="R324" s="188">
        <v>0</v>
      </c>
      <c r="S324" s="364">
        <f t="shared" si="80"/>
        <v>0</v>
      </c>
      <c r="T324" s="97">
        <f t="shared" si="81"/>
        <v>0</v>
      </c>
      <c r="U324" s="188">
        <v>0</v>
      </c>
      <c r="V324" s="364">
        <f t="shared" si="82"/>
        <v>0</v>
      </c>
      <c r="W324" s="97">
        <f t="shared" si="83"/>
        <v>0</v>
      </c>
      <c r="X324" s="71">
        <f>IFERROR(IF(INDEX(AC$14:AC$18,MATCH($E324,$AB$14:$AB$18,0))&lt;&gt;0,INDEX(AC$14:AC$18,MATCH($E324,$AB$14:$AB$18,0)),
IF($M324="Market",0,IF($L324="HUD FMR",INDEX('Data - Reference'!$B$31:$G$31,MATCH($E324,'Data - Reference'!$B$9:$G$9,0)),INDEX('Data - Reference'!$B$9:$G$31,MATCH($K324,'Data - Reference'!$B$9:$B$31,0),MATCH($E324,'Data - Reference'!$B$9:$G$9,0))))),0)</f>
        <v>0</v>
      </c>
      <c r="Y324" s="71">
        <f>IFERROR(IF(INDEX(AD$14:AD$18,MATCH($E324,$AB$14:$AB$18,0))&lt;&gt;0,INDEX(AD$14:AD$18,MATCH($E324,$AB$14:$AB$18,0)),
IF($K324="None - Market",0,-INDEX('Data - Reference'!$B$32:$G$32,MATCH($E324,'Data - Reference'!$B$9:$G$9,0)))),0)</f>
        <v>0</v>
      </c>
      <c r="Z324" s="74">
        <f t="shared" si="76"/>
        <v>0</v>
      </c>
      <c r="AA324" s="67">
        <f t="shared" si="84"/>
        <v>0</v>
      </c>
      <c r="AB324" s="97">
        <f t="shared" si="85"/>
        <v>0</v>
      </c>
      <c r="AC324" s="82">
        <f t="shared" si="86"/>
        <v>0</v>
      </c>
      <c r="AD324" s="83">
        <f t="shared" si="87"/>
        <v>0</v>
      </c>
      <c r="AE324" s="97">
        <f t="shared" si="88"/>
        <v>0</v>
      </c>
      <c r="AF324" s="415" t="str">
        <f t="shared" si="77"/>
        <v>NA</v>
      </c>
      <c r="AG324" s="420" t="str">
        <f t="shared" si="89"/>
        <v>NA</v>
      </c>
      <c r="AH324" s="420" t="str">
        <f t="shared" si="90"/>
        <v>NA</v>
      </c>
      <c r="AI324" s="417" t="str">
        <f t="shared" si="78"/>
        <v>NA</v>
      </c>
      <c r="AJ324" s="417" t="str">
        <f t="shared" si="91"/>
        <v>NA</v>
      </c>
      <c r="AK324" s="524" t="str">
        <f>IFERROR(INDEX('Legacy Resident Reference'!R:R,MATCH('Unit Summary - Rent Roll'!AJ324,'Legacy Resident Reference'!P:P,0)),"NA")</f>
        <v>NA</v>
      </c>
    </row>
    <row r="325" spans="2:37" ht="13.8" hidden="1" outlineLevel="1" x14ac:dyDescent="0.3">
      <c r="B325" s="236">
        <v>299</v>
      </c>
      <c r="C325" s="580" t="s">
        <v>143</v>
      </c>
      <c r="D325" s="581"/>
      <c r="E325" s="186" t="s">
        <v>139</v>
      </c>
      <c r="F325" s="187">
        <v>0</v>
      </c>
      <c r="G325" s="239" t="s">
        <v>85</v>
      </c>
      <c r="H325" s="243">
        <v>0</v>
      </c>
      <c r="I325" s="373">
        <f t="shared" si="79"/>
        <v>0</v>
      </c>
      <c r="J325" s="250" t="s">
        <v>139</v>
      </c>
      <c r="K325" s="508" t="s">
        <v>139</v>
      </c>
      <c r="L325" s="399" t="s">
        <v>139</v>
      </c>
      <c r="M325" s="403">
        <v>0</v>
      </c>
      <c r="N325" s="282" t="s">
        <v>139</v>
      </c>
      <c r="O325" s="302" t="str">
        <f>IF(OR(M325=0,N325="NA"),"NA",IFERROR(INDEX('Data - Reference'!$B$37:$B$50,MATCH('Unit Summary - Rent Roll'!$M325,INDEX('Data - Reference'!$B$37:$J$50,,MATCH('Unit Summary - Rent Roll'!$N325,'Data - Reference'!$B$37:$J$37,0)),-1),1),"NA"))</f>
        <v>NA</v>
      </c>
      <c r="P325" s="239" t="s">
        <v>85</v>
      </c>
      <c r="Q325" s="239" t="s">
        <v>85</v>
      </c>
      <c r="R325" s="188">
        <v>0</v>
      </c>
      <c r="S325" s="364">
        <f t="shared" si="80"/>
        <v>0</v>
      </c>
      <c r="T325" s="97">
        <f t="shared" si="81"/>
        <v>0</v>
      </c>
      <c r="U325" s="188">
        <v>0</v>
      </c>
      <c r="V325" s="364">
        <f t="shared" si="82"/>
        <v>0</v>
      </c>
      <c r="W325" s="97">
        <f t="shared" si="83"/>
        <v>0</v>
      </c>
      <c r="X325" s="71">
        <f>IFERROR(IF(INDEX(AC$14:AC$18,MATCH($E325,$AB$14:$AB$18,0))&lt;&gt;0,INDEX(AC$14:AC$18,MATCH($E325,$AB$14:$AB$18,0)),
IF($M325="Market",0,IF($L325="HUD FMR",INDEX('Data - Reference'!$B$31:$G$31,MATCH($E325,'Data - Reference'!$B$9:$G$9,0)),INDEX('Data - Reference'!$B$9:$G$31,MATCH($K325,'Data - Reference'!$B$9:$B$31,0),MATCH($E325,'Data - Reference'!$B$9:$G$9,0))))),0)</f>
        <v>0</v>
      </c>
      <c r="Y325" s="71">
        <f>IFERROR(IF(INDEX(AD$14:AD$18,MATCH($E325,$AB$14:$AB$18,0))&lt;&gt;0,INDEX(AD$14:AD$18,MATCH($E325,$AB$14:$AB$18,0)),
IF($K325="None - Market",0,-INDEX('Data - Reference'!$B$32:$G$32,MATCH($E325,'Data - Reference'!$B$9:$G$9,0)))),0)</f>
        <v>0</v>
      </c>
      <c r="Z325" s="74">
        <f t="shared" si="76"/>
        <v>0</v>
      </c>
      <c r="AA325" s="67">
        <f t="shared" si="84"/>
        <v>0</v>
      </c>
      <c r="AB325" s="97">
        <f t="shared" si="85"/>
        <v>0</v>
      </c>
      <c r="AC325" s="82">
        <f t="shared" si="86"/>
        <v>0</v>
      </c>
      <c r="AD325" s="83">
        <f t="shared" si="87"/>
        <v>0</v>
      </c>
      <c r="AE325" s="97">
        <f t="shared" si="88"/>
        <v>0</v>
      </c>
      <c r="AF325" s="415" t="str">
        <f t="shared" si="77"/>
        <v>NA</v>
      </c>
      <c r="AG325" s="420" t="str">
        <f t="shared" si="89"/>
        <v>NA</v>
      </c>
      <c r="AH325" s="420" t="str">
        <f t="shared" si="90"/>
        <v>NA</v>
      </c>
      <c r="AI325" s="417" t="str">
        <f t="shared" si="78"/>
        <v>NA</v>
      </c>
      <c r="AJ325" s="417" t="str">
        <f t="shared" si="91"/>
        <v>NA</v>
      </c>
      <c r="AK325" s="524" t="str">
        <f>IFERROR(INDEX('Legacy Resident Reference'!R:R,MATCH('Unit Summary - Rent Roll'!AJ325,'Legacy Resident Reference'!P:P,0)),"NA")</f>
        <v>NA</v>
      </c>
    </row>
    <row r="326" spans="2:37" ht="13.8" hidden="1" outlineLevel="1" x14ac:dyDescent="0.3">
      <c r="B326" s="236">
        <v>300</v>
      </c>
      <c r="C326" s="580" t="s">
        <v>143</v>
      </c>
      <c r="D326" s="581"/>
      <c r="E326" s="186" t="s">
        <v>139</v>
      </c>
      <c r="F326" s="187">
        <v>0</v>
      </c>
      <c r="G326" s="239" t="s">
        <v>85</v>
      </c>
      <c r="H326" s="243">
        <v>0</v>
      </c>
      <c r="I326" s="374">
        <f t="shared" si="79"/>
        <v>0</v>
      </c>
      <c r="J326" s="250" t="s">
        <v>139</v>
      </c>
      <c r="K326" s="508" t="s">
        <v>139</v>
      </c>
      <c r="L326" s="399" t="s">
        <v>139</v>
      </c>
      <c r="M326" s="403">
        <v>0</v>
      </c>
      <c r="N326" s="282" t="s">
        <v>139</v>
      </c>
      <c r="O326" s="302" t="str">
        <f>IF(OR(M326=0,N326="NA"),"NA",IFERROR(INDEX('Data - Reference'!$B$37:$B$50,MATCH('Unit Summary - Rent Roll'!$M326,INDEX('Data - Reference'!$B$37:$J$50,,MATCH('Unit Summary - Rent Roll'!$N326,'Data - Reference'!$B$37:$J$37,0)),-1),1),"NA"))</f>
        <v>NA</v>
      </c>
      <c r="P326" s="239" t="s">
        <v>85</v>
      </c>
      <c r="Q326" s="239" t="s">
        <v>85</v>
      </c>
      <c r="R326" s="188">
        <v>0</v>
      </c>
      <c r="S326" s="364">
        <f t="shared" si="80"/>
        <v>0</v>
      </c>
      <c r="T326" s="97">
        <f t="shared" si="81"/>
        <v>0</v>
      </c>
      <c r="U326" s="188">
        <v>0</v>
      </c>
      <c r="V326" s="364">
        <f t="shared" si="82"/>
        <v>0</v>
      </c>
      <c r="W326" s="97">
        <f t="shared" si="83"/>
        <v>0</v>
      </c>
      <c r="X326" s="71">
        <f>IFERROR(IF(INDEX(AC$14:AC$18,MATCH($E326,$AB$14:$AB$18,0))&lt;&gt;0,INDEX(AC$14:AC$18,MATCH($E326,$AB$14:$AB$18,0)),
IF($M326="Market",0,IF($L326="HUD FMR",INDEX('Data - Reference'!$B$31:$G$31,MATCH($E326,'Data - Reference'!$B$9:$G$9,0)),INDEX('Data - Reference'!$B$9:$G$31,MATCH($K326,'Data - Reference'!$B$9:$B$31,0),MATCH($E326,'Data - Reference'!$B$9:$G$9,0))))),0)</f>
        <v>0</v>
      </c>
      <c r="Y326" s="71">
        <f>IFERROR(IF(INDEX(AD$14:AD$18,MATCH($E326,$AB$14:$AB$18,0))&lt;&gt;0,INDEX(AD$14:AD$18,MATCH($E326,$AB$14:$AB$18,0)),
IF($K326="None - Market",0,-INDEX('Data - Reference'!$B$32:$G$32,MATCH($E326,'Data - Reference'!$B$9:$G$9,0)))),0)</f>
        <v>0</v>
      </c>
      <c r="Z326" s="74">
        <f t="shared" si="76"/>
        <v>0</v>
      </c>
      <c r="AA326" s="67">
        <f t="shared" si="84"/>
        <v>0</v>
      </c>
      <c r="AB326" s="97">
        <f t="shared" si="85"/>
        <v>0</v>
      </c>
      <c r="AC326" s="82">
        <f t="shared" si="86"/>
        <v>0</v>
      </c>
      <c r="AD326" s="83">
        <f t="shared" si="87"/>
        <v>0</v>
      </c>
      <c r="AE326" s="97">
        <f t="shared" si="88"/>
        <v>0</v>
      </c>
      <c r="AF326" s="415" t="str">
        <f t="shared" si="77"/>
        <v>NA</v>
      </c>
      <c r="AG326" s="530" t="str">
        <f t="shared" si="89"/>
        <v>NA</v>
      </c>
      <c r="AH326" s="420" t="str">
        <f t="shared" si="90"/>
        <v>NA</v>
      </c>
      <c r="AI326" s="417" t="str">
        <f t="shared" si="78"/>
        <v>NA</v>
      </c>
      <c r="AJ326" s="417" t="str">
        <f t="shared" si="91"/>
        <v>NA</v>
      </c>
      <c r="AK326" s="524" t="str">
        <f>IFERROR(INDEX('Legacy Resident Reference'!R:R,MATCH('Unit Summary - Rent Roll'!AJ326,'Legacy Resident Reference'!P:P,0)),"NA")</f>
        <v>NA</v>
      </c>
    </row>
    <row r="327" spans="2:37" ht="13.8" collapsed="1" x14ac:dyDescent="0.3">
      <c r="B327" s="41"/>
      <c r="C327" s="235" t="s">
        <v>144</v>
      </c>
      <c r="D327" s="42"/>
      <c r="E327" s="43"/>
      <c r="F327" s="246">
        <f>IFERROR(AVERAGEIFS(F27:F326,$F$27:$F$326,"&gt;0"),0)</f>
        <v>0</v>
      </c>
      <c r="G327" s="245">
        <f>SUMIFS($H$27:$H$326,$G$27:$G$326,"Y")</f>
        <v>0</v>
      </c>
      <c r="H327" s="245">
        <f>SUM(H27:H326)</f>
        <v>0</v>
      </c>
      <c r="I327" s="245">
        <f>SUM(I27:I326)</f>
        <v>0</v>
      </c>
      <c r="J327" s="249"/>
      <c r="K327" s="241" t="str">
        <f ca="1">IF(H327=0,"NA",IF(SUMIFS(OFFSET($H$26,1,0):OFFSET($H$327,-1,0),OFFSET($K$26,1,0):OFFSET($K$327,-1,0),"PSH")=H327,"NA - All PSH",IFERROR(SUMPRODUCT(OFFSET($H$26,1,0):OFFSET($H$327,-1,0),OFFSET(K$26,1,0):OFFSET(K$327,-1,0))/SUMIFS(OFFSET($H$26,1,0):OFFSET($H$327,-1,0),OFFSET(K$26,1,0):OFFSET(K$327,-1,0),"&gt;0"),0)))</f>
        <v>NA</v>
      </c>
      <c r="L327" s="400"/>
      <c r="M327" s="404"/>
      <c r="N327" s="81"/>
      <c r="O327" s="241">
        <f ca="1">IFERROR(ROUNDUP(SUMPRODUCT(OFFSET($H$26,1,0):OFFSET($H$327,-1,0),OFFSET(O$26,1,0):OFFSET(O$327,-1,0))/SUMIFS(OFFSET($H$26,1,0):OFFSET($H$327,-1,0),OFFSET(O$26,1,0):OFFSET(O$327,-1,0),"&gt;0"),2),0)</f>
        <v>0</v>
      </c>
      <c r="P327" s="81"/>
      <c r="Q327" s="81"/>
      <c r="R327" s="77">
        <f ca="1">IFERROR(SUMPRODUCT(OFFSET($H$26,1,0):OFFSET($H$327,-1,0),OFFSET(R$26,1,0):OFFSET(R$327,-1,0))/$G327,0)</f>
        <v>0</v>
      </c>
      <c r="S327" s="78">
        <f ca="1">IFERROR(R327/$F327,0)</f>
        <v>0</v>
      </c>
      <c r="T327" s="95">
        <f ca="1">SUM(OFFSET(T$26,1,0):OFFSET(T$327,-1,0))</f>
        <v>0</v>
      </c>
      <c r="U327" s="77">
        <f ca="1">IFERROR(SUMPRODUCT(OFFSET($H$26,1,0):OFFSET($H$327,-1,0),OFFSET(U$26,1,0):OFFSET(U$327,-1,0))/$H327,0)</f>
        <v>0</v>
      </c>
      <c r="V327" s="78">
        <f ca="1">IFERROR(U327/$F327,0)</f>
        <v>0</v>
      </c>
      <c r="W327" s="95">
        <f ca="1">SUM(OFFSET(W$26,1,0):OFFSET(W$327,-1,0))</f>
        <v>0</v>
      </c>
      <c r="X327" s="80">
        <f ca="1">IFERROR(SUMPRODUCT(OFFSET($H$26,1,0):OFFSET($H$327,-1,0),OFFSET(X$26,1,0):OFFSET(X$327,-1,0))/$H327,0)</f>
        <v>0</v>
      </c>
      <c r="Y327" s="80">
        <f ca="1">IFERROR(SUMPRODUCT(OFFSET($H$26,1,0):OFFSET($H$327,-1,0),OFFSET(Y$26,1,0):OFFSET(Y$327,-1,0))/$H327,0)</f>
        <v>0</v>
      </c>
      <c r="Z327" s="80">
        <f ca="1">IFERROR(SUMPRODUCT(OFFSET($H$26,1,0):OFFSET($H$327,-1,0),OFFSET(Z$26,1,0):OFFSET(Z$327,-1,0))/$H327,0)</f>
        <v>0</v>
      </c>
      <c r="AA327" s="78">
        <f ca="1">IFERROR(Z327/$F327,0)</f>
        <v>0</v>
      </c>
      <c r="AB327" s="95">
        <f ca="1">SUM(OFFSET(AB$26,1,0):OFFSET(AB$327,-1,0))</f>
        <v>0</v>
      </c>
      <c r="AC327" s="80">
        <f ca="1">IFERROR(SUMPRODUCT(OFFSET($H$26,1,0):OFFSET($H$327,-1,0),OFFSET(AC$26,1,0):OFFSET(AC$327,-1,0))/$H327,0)</f>
        <v>0</v>
      </c>
      <c r="AD327" s="84">
        <f ca="1">IFERROR(AC327/$F327,0)</f>
        <v>0</v>
      </c>
      <c r="AE327" s="95">
        <f ca="1">SUM(OFFSET(AE$26,1,0):OFFSET(AE$327,-1,0))</f>
        <v>0</v>
      </c>
      <c r="AF327" s="416"/>
      <c r="AH327" s="421"/>
      <c r="AI327" s="418"/>
      <c r="AJ327" s="418"/>
      <c r="AK327" s="418"/>
    </row>
    <row r="328" spans="2:37" ht="13.8" x14ac:dyDescent="0.3">
      <c r="B328" s="25"/>
      <c r="C328" s="39"/>
      <c r="D328" s="30"/>
      <c r="E328" s="37"/>
      <c r="F328" s="242"/>
      <c r="G328" s="344">
        <f>IFERROR(G327/H327,0)</f>
        <v>0</v>
      </c>
      <c r="H328" s="244"/>
      <c r="I328" s="244"/>
      <c r="J328" s="40"/>
      <c r="K328" s="240" t="str">
        <f ca="1">IF(H327=0,"NA",IF(SUMIFS(OFFSET($H$26,1,0):OFFSET($H$327,-1,0),OFFSET($K$26,1,0):OFFSET($K$327,-1,0),"PSH")=H327,"NA - All PSH",SUMIFS(OFFSET($H$26,1,0):OFFSET($H$327,-1,0),OFFSET(K$26,1,0):OFFSET(K$327,-1,0),"&gt;0")/$H$327))</f>
        <v>NA</v>
      </c>
      <c r="L328" s="26"/>
      <c r="M328" s="405"/>
      <c r="N328" s="240"/>
      <c r="O328" s="240">
        <f ca="1">IFERROR(SUMIFS(OFFSET($H$26,1,0):OFFSET($H$327,-1,0),OFFSET(O$26,1,0):OFFSET(O$327,-1,0),"&gt;0")/$H$327,0)</f>
        <v>0</v>
      </c>
      <c r="P328" s="240"/>
      <c r="Q328" s="240"/>
      <c r="R328" s="40"/>
      <c r="S328" s="31"/>
      <c r="T328" s="96"/>
      <c r="U328" s="40"/>
      <c r="V328" s="31"/>
      <c r="W328" s="90"/>
      <c r="X328" s="30"/>
      <c r="Y328" s="37"/>
      <c r="Z328" s="39"/>
      <c r="AA328" s="39"/>
      <c r="AB328" s="90"/>
      <c r="AC328" s="30"/>
      <c r="AD328" s="39"/>
      <c r="AE328" s="90"/>
      <c r="AF328" s="25"/>
      <c r="AG328" s="72"/>
      <c r="AH328" s="20"/>
      <c r="AI328" s="18"/>
      <c r="AJ328" s="18"/>
      <c r="AK328" s="18"/>
    </row>
    <row r="330" spans="2:37" ht="12.75" customHeight="1" x14ac:dyDescent="0.3">
      <c r="AI330"/>
      <c r="AJ330"/>
    </row>
    <row r="331" spans="2:37" ht="12.75" customHeight="1" x14ac:dyDescent="0.3">
      <c r="AI331"/>
      <c r="AJ331"/>
    </row>
    <row r="332" spans="2:37" ht="12.75" customHeight="1" x14ac:dyDescent="0.3">
      <c r="AI332"/>
      <c r="AJ332"/>
    </row>
    <row r="333" spans="2:37" ht="12.75" customHeight="1" x14ac:dyDescent="0.3">
      <c r="AI333"/>
      <c r="AJ333"/>
    </row>
    <row r="334" spans="2:37" ht="12.75" customHeight="1" x14ac:dyDescent="0.3">
      <c r="AI334"/>
      <c r="AJ334"/>
    </row>
    <row r="335" spans="2:37" ht="12.75" customHeight="1" x14ac:dyDescent="0.3">
      <c r="AI335"/>
      <c r="AJ335"/>
    </row>
    <row r="336" spans="2:37" ht="12.75" customHeight="1" x14ac:dyDescent="0.3">
      <c r="AI336"/>
      <c r="AJ336"/>
    </row>
  </sheetData>
  <sheetProtection sheet="1" objects="1" scenarios="1" formatColumns="0" formatRows="0"/>
  <protectedRanges>
    <protectedRange sqref="AC14:AD19 Z6:Z19 P25:R326 U25:U326 B27:H326 J25:N326" name="Rent Roll"/>
  </protectedRanges>
  <mergeCells count="344">
    <mergeCell ref="C30:D30"/>
    <mergeCell ref="C29:D29"/>
    <mergeCell ref="C28:D28"/>
    <mergeCell ref="C122:D122"/>
    <mergeCell ref="C123:D123"/>
    <mergeCell ref="C124:D124"/>
    <mergeCell ref="C125:D125"/>
    <mergeCell ref="C126:D126"/>
    <mergeCell ref="C127:D127"/>
    <mergeCell ref="C98:D98"/>
    <mergeCell ref="C99:D99"/>
    <mergeCell ref="C100:D100"/>
    <mergeCell ref="C101:D101"/>
    <mergeCell ref="C102:D102"/>
    <mergeCell ref="C103:D103"/>
    <mergeCell ref="C86:D86"/>
    <mergeCell ref="C87:D87"/>
    <mergeCell ref="C88:D88"/>
    <mergeCell ref="C89:D89"/>
    <mergeCell ref="C90:D90"/>
    <mergeCell ref="C91:D91"/>
    <mergeCell ref="C92:D92"/>
    <mergeCell ref="C93:D93"/>
    <mergeCell ref="C94:D94"/>
    <mergeCell ref="C128:D128"/>
    <mergeCell ref="C129:D129"/>
    <mergeCell ref="C31:D31"/>
    <mergeCell ref="C113:D113"/>
    <mergeCell ref="C114:D114"/>
    <mergeCell ref="C115:D115"/>
    <mergeCell ref="C116:D116"/>
    <mergeCell ref="C117:D117"/>
    <mergeCell ref="C118:D118"/>
    <mergeCell ref="C119:D119"/>
    <mergeCell ref="C120:D120"/>
    <mergeCell ref="C121:D121"/>
    <mergeCell ref="C104:D104"/>
    <mergeCell ref="C105:D105"/>
    <mergeCell ref="C106:D106"/>
    <mergeCell ref="C107:D107"/>
    <mergeCell ref="C108:D108"/>
    <mergeCell ref="C109:D109"/>
    <mergeCell ref="C110:D110"/>
    <mergeCell ref="C111:D111"/>
    <mergeCell ref="C112:D112"/>
    <mergeCell ref="C95:D95"/>
    <mergeCell ref="C96:D96"/>
    <mergeCell ref="C97:D97"/>
    <mergeCell ref="C77:D77"/>
    <mergeCell ref="C78:D78"/>
    <mergeCell ref="C79:D79"/>
    <mergeCell ref="C80:D80"/>
    <mergeCell ref="C81:D81"/>
    <mergeCell ref="C82:D82"/>
    <mergeCell ref="C83:D83"/>
    <mergeCell ref="C84:D84"/>
    <mergeCell ref="C85:D85"/>
    <mergeCell ref="C68:D68"/>
    <mergeCell ref="C69:D69"/>
    <mergeCell ref="C70:D70"/>
    <mergeCell ref="C71:D71"/>
    <mergeCell ref="C72:D72"/>
    <mergeCell ref="C73:D73"/>
    <mergeCell ref="C74:D74"/>
    <mergeCell ref="C75:D75"/>
    <mergeCell ref="C76:D76"/>
    <mergeCell ref="C59:D59"/>
    <mergeCell ref="C60:D60"/>
    <mergeCell ref="C61:D61"/>
    <mergeCell ref="C62:D62"/>
    <mergeCell ref="C63:D63"/>
    <mergeCell ref="C64:D64"/>
    <mergeCell ref="C65:D65"/>
    <mergeCell ref="C66:D66"/>
    <mergeCell ref="C67:D67"/>
    <mergeCell ref="C50:D50"/>
    <mergeCell ref="C51:D51"/>
    <mergeCell ref="C52:D52"/>
    <mergeCell ref="C53:D53"/>
    <mergeCell ref="C54:D54"/>
    <mergeCell ref="C55:D55"/>
    <mergeCell ref="C56:D56"/>
    <mergeCell ref="C57:D57"/>
    <mergeCell ref="C58:D58"/>
    <mergeCell ref="C41:D41"/>
    <mergeCell ref="C42:D42"/>
    <mergeCell ref="C43:D43"/>
    <mergeCell ref="C44:D44"/>
    <mergeCell ref="C45:D45"/>
    <mergeCell ref="C46:D46"/>
    <mergeCell ref="C47:D47"/>
    <mergeCell ref="C48:D48"/>
    <mergeCell ref="C49:D49"/>
    <mergeCell ref="C32:D32"/>
    <mergeCell ref="C33:D33"/>
    <mergeCell ref="C34:D34"/>
    <mergeCell ref="C35:D35"/>
    <mergeCell ref="C36:D36"/>
    <mergeCell ref="C37:D37"/>
    <mergeCell ref="C38:D38"/>
    <mergeCell ref="C39:D39"/>
    <mergeCell ref="C40:D40"/>
    <mergeCell ref="C219:D219"/>
    <mergeCell ref="C220:D220"/>
    <mergeCell ref="C221:D221"/>
    <mergeCell ref="C222:D222"/>
    <mergeCell ref="C223:D223"/>
    <mergeCell ref="C224:D224"/>
    <mergeCell ref="C225:D225"/>
    <mergeCell ref="C226:D226"/>
    <mergeCell ref="C227:D227"/>
    <mergeCell ref="C210:D210"/>
    <mergeCell ref="C211:D211"/>
    <mergeCell ref="C212:D212"/>
    <mergeCell ref="C213:D213"/>
    <mergeCell ref="C214:D214"/>
    <mergeCell ref="C215:D215"/>
    <mergeCell ref="C216:D216"/>
    <mergeCell ref="C217:D217"/>
    <mergeCell ref="C218:D218"/>
    <mergeCell ref="C201:D201"/>
    <mergeCell ref="C202:D202"/>
    <mergeCell ref="C203:D203"/>
    <mergeCell ref="C204:D204"/>
    <mergeCell ref="C205:D205"/>
    <mergeCell ref="C206:D206"/>
    <mergeCell ref="C207:D207"/>
    <mergeCell ref="C208:D208"/>
    <mergeCell ref="C209:D209"/>
    <mergeCell ref="C192:D192"/>
    <mergeCell ref="C193:D193"/>
    <mergeCell ref="C194:D194"/>
    <mergeCell ref="C195:D195"/>
    <mergeCell ref="C196:D196"/>
    <mergeCell ref="C197:D197"/>
    <mergeCell ref="C198:D198"/>
    <mergeCell ref="C199:D199"/>
    <mergeCell ref="C200:D200"/>
    <mergeCell ref="C183:D183"/>
    <mergeCell ref="C184:D184"/>
    <mergeCell ref="C185:D185"/>
    <mergeCell ref="C186:D186"/>
    <mergeCell ref="C187:D187"/>
    <mergeCell ref="C188:D188"/>
    <mergeCell ref="C189:D189"/>
    <mergeCell ref="C190:D190"/>
    <mergeCell ref="C191:D191"/>
    <mergeCell ref="C174:D174"/>
    <mergeCell ref="C175:D175"/>
    <mergeCell ref="C176:D176"/>
    <mergeCell ref="C177:D177"/>
    <mergeCell ref="C178:D178"/>
    <mergeCell ref="C179:D179"/>
    <mergeCell ref="C180:D180"/>
    <mergeCell ref="C181:D181"/>
    <mergeCell ref="C182:D182"/>
    <mergeCell ref="C165:D165"/>
    <mergeCell ref="C166:D166"/>
    <mergeCell ref="C167:D167"/>
    <mergeCell ref="C168:D168"/>
    <mergeCell ref="C169:D169"/>
    <mergeCell ref="C170:D170"/>
    <mergeCell ref="C171:D171"/>
    <mergeCell ref="C172:D172"/>
    <mergeCell ref="C173:D173"/>
    <mergeCell ref="C156:D156"/>
    <mergeCell ref="C157:D157"/>
    <mergeCell ref="C158:D158"/>
    <mergeCell ref="C159:D159"/>
    <mergeCell ref="C160:D160"/>
    <mergeCell ref="C161:D161"/>
    <mergeCell ref="C162:D162"/>
    <mergeCell ref="C163:D163"/>
    <mergeCell ref="C164:D164"/>
    <mergeCell ref="C147:D147"/>
    <mergeCell ref="C148:D148"/>
    <mergeCell ref="C149:D149"/>
    <mergeCell ref="C150:D150"/>
    <mergeCell ref="C151:D151"/>
    <mergeCell ref="C152:D152"/>
    <mergeCell ref="C153:D153"/>
    <mergeCell ref="C154:D154"/>
    <mergeCell ref="C155:D155"/>
    <mergeCell ref="C319:D319"/>
    <mergeCell ref="C320:D320"/>
    <mergeCell ref="C321:D321"/>
    <mergeCell ref="C322:D322"/>
    <mergeCell ref="C323:D323"/>
    <mergeCell ref="C324:D324"/>
    <mergeCell ref="C325:D325"/>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310:D310"/>
    <mergeCell ref="C311:D311"/>
    <mergeCell ref="C312:D312"/>
    <mergeCell ref="C313:D313"/>
    <mergeCell ref="C314:D314"/>
    <mergeCell ref="C315:D315"/>
    <mergeCell ref="C316:D316"/>
    <mergeCell ref="C317:D317"/>
    <mergeCell ref="C318:D318"/>
    <mergeCell ref="C301:D301"/>
    <mergeCell ref="C302:D302"/>
    <mergeCell ref="C303:D303"/>
    <mergeCell ref="C304:D304"/>
    <mergeCell ref="C305:D305"/>
    <mergeCell ref="C306:D306"/>
    <mergeCell ref="C307:D307"/>
    <mergeCell ref="C308:D308"/>
    <mergeCell ref="C309:D309"/>
    <mergeCell ref="C292:D292"/>
    <mergeCell ref="C293:D293"/>
    <mergeCell ref="C294:D294"/>
    <mergeCell ref="C295:D295"/>
    <mergeCell ref="C296:D296"/>
    <mergeCell ref="C297:D297"/>
    <mergeCell ref="C298:D298"/>
    <mergeCell ref="C299:D299"/>
    <mergeCell ref="C300:D300"/>
    <mergeCell ref="C283:D283"/>
    <mergeCell ref="C284:D284"/>
    <mergeCell ref="C285:D285"/>
    <mergeCell ref="C286:D286"/>
    <mergeCell ref="C287:D287"/>
    <mergeCell ref="C288:D288"/>
    <mergeCell ref="C289:D289"/>
    <mergeCell ref="C290:D290"/>
    <mergeCell ref="C291:D291"/>
    <mergeCell ref="C274:D274"/>
    <mergeCell ref="C275:D275"/>
    <mergeCell ref="C276:D276"/>
    <mergeCell ref="C277:D277"/>
    <mergeCell ref="C278:D278"/>
    <mergeCell ref="C279:D279"/>
    <mergeCell ref="C280:D280"/>
    <mergeCell ref="C281:D281"/>
    <mergeCell ref="C282:D282"/>
    <mergeCell ref="C265:D265"/>
    <mergeCell ref="C266:D266"/>
    <mergeCell ref="C267:D267"/>
    <mergeCell ref="C268:D268"/>
    <mergeCell ref="C269:D269"/>
    <mergeCell ref="C270:D270"/>
    <mergeCell ref="C271:D271"/>
    <mergeCell ref="C272:D272"/>
    <mergeCell ref="C273:D273"/>
    <mergeCell ref="C256:D256"/>
    <mergeCell ref="C257:D257"/>
    <mergeCell ref="C258:D258"/>
    <mergeCell ref="C259:D259"/>
    <mergeCell ref="C260:D260"/>
    <mergeCell ref="C261:D261"/>
    <mergeCell ref="C262:D262"/>
    <mergeCell ref="C263:D263"/>
    <mergeCell ref="C264:D264"/>
    <mergeCell ref="C247:D247"/>
    <mergeCell ref="C248:D248"/>
    <mergeCell ref="C249:D249"/>
    <mergeCell ref="C250:D250"/>
    <mergeCell ref="C251:D251"/>
    <mergeCell ref="C252:D252"/>
    <mergeCell ref="C253:D253"/>
    <mergeCell ref="C254:D254"/>
    <mergeCell ref="C255:D255"/>
    <mergeCell ref="C228:D228"/>
    <mergeCell ref="C229:D229"/>
    <mergeCell ref="C230:D230"/>
    <mergeCell ref="C231:D231"/>
    <mergeCell ref="C232:D232"/>
    <mergeCell ref="C233:D233"/>
    <mergeCell ref="C234:D234"/>
    <mergeCell ref="C235:D235"/>
    <mergeCell ref="C236:D236"/>
    <mergeCell ref="C246:D246"/>
    <mergeCell ref="C237:D237"/>
    <mergeCell ref="C238:D238"/>
    <mergeCell ref="C239:D239"/>
    <mergeCell ref="C240:D240"/>
    <mergeCell ref="C241:D241"/>
    <mergeCell ref="C242:D242"/>
    <mergeCell ref="C243:D243"/>
    <mergeCell ref="C244:D244"/>
    <mergeCell ref="C245:D245"/>
    <mergeCell ref="AC22:AE22"/>
    <mergeCell ref="AD23:AD24"/>
    <mergeCell ref="Y23:Y24"/>
    <mergeCell ref="AG22:AG24"/>
    <mergeCell ref="B4:K15"/>
    <mergeCell ref="X5:Y5"/>
    <mergeCell ref="M21:T21"/>
    <mergeCell ref="K22:K24"/>
    <mergeCell ref="E22:E24"/>
    <mergeCell ref="B22:B24"/>
    <mergeCell ref="G22:G24"/>
    <mergeCell ref="J22:J24"/>
    <mergeCell ref="C22:D24"/>
    <mergeCell ref="M22:M24"/>
    <mergeCell ref="L22:L24"/>
    <mergeCell ref="N22:N24"/>
    <mergeCell ref="S23:S24"/>
    <mergeCell ref="O22:O24"/>
    <mergeCell ref="P22:P24"/>
    <mergeCell ref="F22:F24"/>
    <mergeCell ref="H22:H24"/>
    <mergeCell ref="I22:I24"/>
    <mergeCell ref="AJ22:AJ24"/>
    <mergeCell ref="AK22:AK24"/>
    <mergeCell ref="AI22:AI24"/>
    <mergeCell ref="C26:D26"/>
    <mergeCell ref="C25:D25"/>
    <mergeCell ref="R23:R24"/>
    <mergeCell ref="C326:D326"/>
    <mergeCell ref="AF22:AF24"/>
    <mergeCell ref="C27:D27"/>
    <mergeCell ref="AE23:AE24"/>
    <mergeCell ref="U22:W22"/>
    <mergeCell ref="W23:W24"/>
    <mergeCell ref="AC23:AC24"/>
    <mergeCell ref="AB23:AB24"/>
    <mergeCell ref="V23:V24"/>
    <mergeCell ref="Z23:Z24"/>
    <mergeCell ref="AA23:AA24"/>
    <mergeCell ref="X22:AB22"/>
    <mergeCell ref="U23:U24"/>
    <mergeCell ref="X23:X24"/>
    <mergeCell ref="Q22:Q24"/>
    <mergeCell ref="R22:T22"/>
    <mergeCell ref="AH22:AH24"/>
    <mergeCell ref="T23:T24"/>
  </mergeCells>
  <conditionalFormatting sqref="H27:H326">
    <cfRule type="expression" dxfId="6" priority="7">
      <formula>AND(H27&gt;1,G27="Y")</formula>
    </cfRule>
  </conditionalFormatting>
  <conditionalFormatting sqref="AF27:AF326">
    <cfRule type="cellIs" dxfId="5" priority="3" operator="equal">
      <formula>"N"</formula>
    </cfRule>
  </conditionalFormatting>
  <conditionalFormatting sqref="AG27:AG327">
    <cfRule type="cellIs" dxfId="4" priority="5" operator="equal">
      <formula>"N"</formula>
    </cfRule>
  </conditionalFormatting>
  <conditionalFormatting sqref="AH27:AH327">
    <cfRule type="cellIs" dxfId="3" priority="2" operator="equal">
      <formula>"Input Current Household Income"</formula>
    </cfRule>
  </conditionalFormatting>
  <conditionalFormatting sqref="AJ27:AJ327">
    <cfRule type="cellIs" dxfId="2" priority="1" operator="equal">
      <formula>"3b"</formula>
    </cfRule>
    <cfRule type="cellIs" dxfId="1" priority="4" operator="equal">
      <formula>"3a"</formula>
    </cfRule>
  </conditionalFormatting>
  <dataValidations count="1">
    <dataValidation type="custom" allowBlank="1" showInputMessage="1" showErrorMessage="1" errorTitle="Invalid Unit Count" error="Please input all occupied units individually." sqref="H27:H326" xr:uid="{DA0609D5-5CF3-48C0-B961-D8DEB318FB1C}">
      <formula1>OR(G27="N",AND(H27=1,G27="Y"))</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5700FE56-E0AF-458C-94EF-E0EDAEC42B35}">
          <x14:formula1>
            <xm:f>List!$H$5:$H$8</xm:f>
          </x14:formula1>
          <xm:sqref>L25:L326</xm:sqref>
        </x14:dataValidation>
        <x14:dataValidation type="list" allowBlank="1" showInputMessage="1" showErrorMessage="1" xr:uid="{A1E14FD1-180B-43C9-ABFD-19B958D09375}">
          <x14:formula1>
            <xm:f>List!$B$5:$B$10</xm:f>
          </x14:formula1>
          <xm:sqref>E27:E326</xm:sqref>
        </x14:dataValidation>
        <x14:dataValidation type="list" allowBlank="1" showInputMessage="1" showErrorMessage="1" xr:uid="{FFB0F304-4B89-4218-828F-3898690A9133}">
          <x14:formula1>
            <xm:f>List!$AK$5:$AK$13</xm:f>
          </x14:formula1>
          <xm:sqref>N25:N326</xm:sqref>
        </x14:dataValidation>
        <x14:dataValidation type="list" allowBlank="1" showInputMessage="1" showErrorMessage="1" xr:uid="{27EB1B5A-7275-4F86-9A68-8CC6F6E88449}">
          <x14:formula1>
            <xm:f>List!$AA$5:$AA$6</xm:f>
          </x14:formula1>
          <xm:sqref>Z6:Z18 G27:G326 P25:P326</xm:sqref>
        </x14:dataValidation>
        <x14:dataValidation type="list" allowBlank="1" showInputMessage="1" showErrorMessage="1" xr:uid="{8781C13D-14FD-4E3D-8FF1-3366B6466524}">
          <x14:formula1>
            <xm:f>List!$J$5:$J$8</xm:f>
          </x14:formula1>
          <xm:sqref>Q25:Q326</xm:sqref>
        </x14:dataValidation>
        <x14:dataValidation type="list" allowBlank="1" showInputMessage="1" showErrorMessage="1" xr:uid="{20537C0F-58BE-479D-AF96-B7D15026D685}">
          <x14:formula1>
            <xm:f>List!$D$5:$D$28</xm:f>
          </x14:formula1>
          <xm:sqref>K25:K326</xm:sqref>
        </x14:dataValidation>
        <x14:dataValidation type="list" allowBlank="1" showInputMessage="1" showErrorMessage="1" xr:uid="{376C3866-34EA-4CF1-8A99-34191E357CC3}">
          <x14:formula1>
            <xm:f>List!$D$5:$D$18</xm:f>
          </x14:formula1>
          <xm:sqref>K25:K326</xm:sqref>
        </x14:dataValidation>
        <x14:dataValidation type="list" allowBlank="1" showInputMessage="1" showErrorMessage="1" xr:uid="{8AB8BD0A-EB6B-46FB-A5A5-7A913F513F25}">
          <x14:formula1>
            <xm:f>List!$F$5:$F$10</xm:f>
          </x14:formula1>
          <xm:sqref>J25:J326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5A58C-128B-40E4-BFCC-FD986185975D}">
  <dimension ref="B1:T140"/>
  <sheetViews>
    <sheetView showGridLines="0" zoomScaleNormal="100" workbookViewId="0">
      <selection activeCell="F18" sqref="F18"/>
    </sheetView>
  </sheetViews>
  <sheetFormatPr defaultColWidth="15.6640625" defaultRowHeight="13.8" x14ac:dyDescent="0.3"/>
  <cols>
    <col min="1" max="1" width="2.6640625" style="1" customWidth="1"/>
    <col min="2" max="16384" width="15.6640625" style="1"/>
  </cols>
  <sheetData>
    <row r="1" spans="2:17" s="4" customFormat="1" ht="15.6" x14ac:dyDescent="0.3">
      <c r="B1" s="4" t="s">
        <v>0</v>
      </c>
    </row>
    <row r="2" spans="2:17" s="5" customFormat="1" ht="15" customHeight="1" x14ac:dyDescent="0.3">
      <c r="B2" s="5" t="s">
        <v>145</v>
      </c>
    </row>
    <row r="3" spans="2:17" s="5" customFormat="1" ht="15" customHeight="1" x14ac:dyDescent="0.3"/>
    <row r="4" spans="2:17" s="5" customFormat="1" ht="15" customHeight="1" x14ac:dyDescent="0.3">
      <c r="B4" s="612" t="s">
        <v>146</v>
      </c>
      <c r="C4" s="613"/>
      <c r="D4" s="613"/>
      <c r="E4" s="613"/>
      <c r="F4" s="613"/>
      <c r="G4" s="613"/>
      <c r="H4" s="613"/>
      <c r="I4" s="613"/>
      <c r="J4" s="613"/>
      <c r="K4" s="613"/>
      <c r="L4" s="613"/>
      <c r="M4" s="613"/>
      <c r="N4" s="613"/>
      <c r="O4" s="613"/>
      <c r="P4" s="614"/>
    </row>
    <row r="5" spans="2:17" s="5" customFormat="1" ht="15" customHeight="1" x14ac:dyDescent="0.3">
      <c r="B5" s="615"/>
      <c r="C5" s="616"/>
      <c r="D5" s="616"/>
      <c r="E5" s="616"/>
      <c r="F5" s="616"/>
      <c r="G5" s="616"/>
      <c r="H5" s="616"/>
      <c r="I5" s="616"/>
      <c r="J5" s="616"/>
      <c r="K5" s="616"/>
      <c r="L5" s="616"/>
      <c r="M5" s="616"/>
      <c r="N5" s="616"/>
      <c r="O5" s="616"/>
      <c r="P5" s="617"/>
    </row>
    <row r="6" spans="2:17" s="5" customFormat="1" ht="15" customHeight="1" x14ac:dyDescent="0.3">
      <c r="B6" s="615"/>
      <c r="C6" s="616"/>
      <c r="D6" s="616"/>
      <c r="E6" s="616"/>
      <c r="F6" s="616"/>
      <c r="G6" s="616"/>
      <c r="H6" s="616"/>
      <c r="I6" s="616"/>
      <c r="J6" s="616"/>
      <c r="K6" s="616"/>
      <c r="L6" s="616"/>
      <c r="M6" s="616"/>
      <c r="N6" s="616"/>
      <c r="O6" s="616"/>
      <c r="P6" s="617"/>
    </row>
    <row r="7" spans="2:17" s="5" customFormat="1" ht="15" customHeight="1" x14ac:dyDescent="0.3">
      <c r="B7" s="615"/>
      <c r="C7" s="616"/>
      <c r="D7" s="616"/>
      <c r="E7" s="616"/>
      <c r="F7" s="616"/>
      <c r="G7" s="616"/>
      <c r="H7" s="616"/>
      <c r="I7" s="616"/>
      <c r="J7" s="616"/>
      <c r="K7" s="616"/>
      <c r="L7" s="616"/>
      <c r="M7" s="616"/>
      <c r="N7" s="616"/>
      <c r="O7" s="616"/>
      <c r="P7" s="617"/>
    </row>
    <row r="8" spans="2:17" s="5" customFormat="1" ht="15" customHeight="1" x14ac:dyDescent="0.3">
      <c r="B8" s="615"/>
      <c r="C8" s="616"/>
      <c r="D8" s="616"/>
      <c r="E8" s="616"/>
      <c r="F8" s="616"/>
      <c r="G8" s="616"/>
      <c r="H8" s="616"/>
      <c r="I8" s="616"/>
      <c r="J8" s="616"/>
      <c r="K8" s="616"/>
      <c r="L8" s="616"/>
      <c r="M8" s="616"/>
      <c r="N8" s="616"/>
      <c r="O8" s="616"/>
      <c r="P8" s="617"/>
    </row>
    <row r="9" spans="2:17" s="5" customFormat="1" ht="15" customHeight="1" x14ac:dyDescent="0.3">
      <c r="B9" s="615"/>
      <c r="C9" s="616"/>
      <c r="D9" s="616"/>
      <c r="E9" s="616"/>
      <c r="F9" s="616"/>
      <c r="G9" s="616"/>
      <c r="H9" s="616"/>
      <c r="I9" s="616"/>
      <c r="J9" s="616"/>
      <c r="K9" s="616"/>
      <c r="L9" s="616"/>
      <c r="M9" s="616"/>
      <c r="N9" s="616"/>
      <c r="O9" s="616"/>
      <c r="P9" s="617"/>
    </row>
    <row r="10" spans="2:17" s="5" customFormat="1" ht="15" customHeight="1" x14ac:dyDescent="0.3">
      <c r="B10" s="618"/>
      <c r="C10" s="619"/>
      <c r="D10" s="619"/>
      <c r="E10" s="619"/>
      <c r="F10" s="619"/>
      <c r="G10" s="619"/>
      <c r="H10" s="619"/>
      <c r="I10" s="619"/>
      <c r="J10" s="619"/>
      <c r="K10" s="619"/>
      <c r="L10" s="619"/>
      <c r="M10" s="619"/>
      <c r="N10" s="619"/>
      <c r="O10" s="619"/>
      <c r="P10" s="620"/>
    </row>
    <row r="11" spans="2:17" s="5" customFormat="1" ht="15" customHeight="1" x14ac:dyDescent="0.3">
      <c r="B11" s="60"/>
    </row>
    <row r="12" spans="2:17" s="5" customFormat="1" ht="15" customHeight="1" x14ac:dyDescent="0.3">
      <c r="B12" s="61" t="s">
        <v>3</v>
      </c>
      <c r="C12" s="189" t="s">
        <v>4</v>
      </c>
      <c r="D12" s="62" t="s">
        <v>5</v>
      </c>
      <c r="E12" s="63" t="s">
        <v>6</v>
      </c>
    </row>
    <row r="15" spans="2:17" x14ac:dyDescent="0.3">
      <c r="B15" s="32" t="s">
        <v>147</v>
      </c>
      <c r="C15" s="33"/>
      <c r="D15" s="33"/>
      <c r="E15" s="33"/>
      <c r="F15" s="33"/>
      <c r="G15" s="33"/>
      <c r="H15" s="33"/>
      <c r="I15" s="34"/>
      <c r="J15" s="5"/>
      <c r="K15" s="32" t="s">
        <v>22</v>
      </c>
      <c r="L15" s="33"/>
      <c r="M15" s="33"/>
      <c r="N15" s="33"/>
      <c r="O15" s="33"/>
      <c r="P15" s="34"/>
      <c r="Q15" s="5"/>
    </row>
    <row r="16" spans="2:17" x14ac:dyDescent="0.3">
      <c r="B16" s="621" t="s">
        <v>24</v>
      </c>
      <c r="C16" s="621"/>
      <c r="D16" s="621"/>
      <c r="E16" s="621"/>
      <c r="F16" s="546" t="s">
        <v>26</v>
      </c>
      <c r="G16" s="546" t="s">
        <v>27</v>
      </c>
      <c r="H16" s="546" t="s">
        <v>148</v>
      </c>
      <c r="I16" s="546" t="s">
        <v>28</v>
      </c>
      <c r="J16" s="5"/>
      <c r="K16" s="605" t="s">
        <v>24</v>
      </c>
      <c r="L16" s="622"/>
      <c r="M16" s="546" t="s">
        <v>26</v>
      </c>
      <c r="N16" s="546" t="s">
        <v>27</v>
      </c>
      <c r="O16" s="546" t="s">
        <v>148</v>
      </c>
      <c r="P16" s="546" t="s">
        <v>28</v>
      </c>
      <c r="Q16" s="5"/>
    </row>
    <row r="17" spans="2:17" x14ac:dyDescent="0.3">
      <c r="B17" s="45" t="s">
        <v>70</v>
      </c>
      <c r="C17" s="46"/>
      <c r="D17" s="46"/>
      <c r="E17" s="47"/>
      <c r="F17" s="109"/>
      <c r="G17" s="109"/>
      <c r="H17" s="114"/>
      <c r="I17" s="115"/>
      <c r="J17" s="5"/>
      <c r="K17" s="131" t="s">
        <v>149</v>
      </c>
      <c r="L17" s="132"/>
      <c r="M17" s="138"/>
      <c r="N17" s="138"/>
      <c r="O17" s="114"/>
      <c r="P17" s="141"/>
      <c r="Q17" s="5"/>
    </row>
    <row r="18" spans="2:17" x14ac:dyDescent="0.3">
      <c r="B18" s="492" t="s">
        <v>150</v>
      </c>
      <c r="C18" s="5"/>
      <c r="D18" s="5"/>
      <c r="E18" s="28"/>
      <c r="F18" s="197">
        <v>0</v>
      </c>
      <c r="G18" s="74">
        <f>IFERROR($F18/Overview!$D$31,0)</f>
        <v>0</v>
      </c>
      <c r="H18" s="89">
        <f>IFERROR($F18/Overview!$D$30,0)</f>
        <v>0</v>
      </c>
      <c r="I18" s="116">
        <f>IFERROR($F18/$F$118,0)</f>
        <v>0</v>
      </c>
      <c r="J18" s="5"/>
      <c r="K18" s="184" t="s">
        <v>151</v>
      </c>
      <c r="L18" s="266"/>
      <c r="M18" s="197">
        <v>0</v>
      </c>
      <c r="N18" s="74">
        <f>IFERROR($M18/Overview!$D$31,0)</f>
        <v>0</v>
      </c>
      <c r="O18" s="89">
        <f>IFERROR($M18/Overview!$D$30,0)</f>
        <v>0</v>
      </c>
      <c r="P18" s="116">
        <f>IFERROR($M18/$M$59,0)</f>
        <v>0</v>
      </c>
      <c r="Q18" s="5"/>
    </row>
    <row r="19" spans="2:17" x14ac:dyDescent="0.3">
      <c r="B19" s="492" t="s">
        <v>152</v>
      </c>
      <c r="C19" s="5"/>
      <c r="D19" s="5"/>
      <c r="E19" s="28"/>
      <c r="F19" s="197">
        <v>0</v>
      </c>
      <c r="G19" s="74">
        <f>IFERROR($F19/Overview!$D$31,0)</f>
        <v>0</v>
      </c>
      <c r="H19" s="89">
        <f>IFERROR($F19/Overview!$D$30,0)</f>
        <v>0</v>
      </c>
      <c r="I19" s="116">
        <f>IFERROR($F19/$F$118,0)</f>
        <v>0</v>
      </c>
      <c r="J19" s="5"/>
      <c r="K19" s="184" t="s">
        <v>153</v>
      </c>
      <c r="L19" s="267"/>
      <c r="M19" s="197">
        <v>0</v>
      </c>
      <c r="N19" s="74">
        <f>IFERROR($M19/Overview!$D$31,0)</f>
        <v>0</v>
      </c>
      <c r="O19" s="89">
        <f>IFERROR($M19/Overview!$D$30,0)</f>
        <v>0</v>
      </c>
      <c r="P19" s="116">
        <f t="shared" ref="P19:P35" si="0">IFERROR($M19/$M$59,0)</f>
        <v>0</v>
      </c>
      <c r="Q19" s="5"/>
    </row>
    <row r="20" spans="2:17" x14ac:dyDescent="0.3">
      <c r="B20" s="184" t="s">
        <v>154</v>
      </c>
      <c r="C20" s="202"/>
      <c r="D20" s="202"/>
      <c r="E20" s="185"/>
      <c r="F20" s="197">
        <v>0</v>
      </c>
      <c r="G20" s="74">
        <f>IFERROR($F20/Overview!$D$31,0)</f>
        <v>0</v>
      </c>
      <c r="H20" s="89">
        <f>IFERROR($F20/Overview!$D$30,0)</f>
        <v>0</v>
      </c>
      <c r="I20" s="116">
        <f>IFERROR($F20/$F$118,0)</f>
        <v>0</v>
      </c>
      <c r="J20" s="5"/>
      <c r="K20" s="184" t="s">
        <v>155</v>
      </c>
      <c r="L20" s="267"/>
      <c r="M20" s="197">
        <v>0</v>
      </c>
      <c r="N20" s="74">
        <f>IFERROR($M20/Overview!$D$31,0)</f>
        <v>0</v>
      </c>
      <c r="O20" s="89">
        <f>IFERROR($M20/Overview!$D$30,0)</f>
        <v>0</v>
      </c>
      <c r="P20" s="116">
        <f t="shared" si="0"/>
        <v>0</v>
      </c>
      <c r="Q20" s="5"/>
    </row>
    <row r="21" spans="2:17" x14ac:dyDescent="0.3">
      <c r="B21" s="50" t="s">
        <v>156</v>
      </c>
      <c r="C21" s="51"/>
      <c r="D21" s="51"/>
      <c r="E21" s="52"/>
      <c r="F21" s="110">
        <f>SUM(F18:F20)</f>
        <v>0</v>
      </c>
      <c r="G21" s="110">
        <f>IFERROR($F21/Overview!$D$31,0)</f>
        <v>0</v>
      </c>
      <c r="H21" s="105">
        <f>IFERROR($F21/Overview!$D$30,0)</f>
        <v>0</v>
      </c>
      <c r="I21" s="117">
        <f>IFERROR($F21/$F$118,0)</f>
        <v>0</v>
      </c>
      <c r="J21" s="5"/>
      <c r="K21" s="184" t="s">
        <v>157</v>
      </c>
      <c r="L21" s="267"/>
      <c r="M21" s="197">
        <v>0</v>
      </c>
      <c r="N21" s="74">
        <f>IFERROR($M21/Overview!$D$31,0)</f>
        <v>0</v>
      </c>
      <c r="O21" s="89">
        <f>IFERROR($M21/Overview!$D$30,0)</f>
        <v>0</v>
      </c>
      <c r="P21" s="116">
        <f t="shared" si="0"/>
        <v>0</v>
      </c>
      <c r="Q21" s="5"/>
    </row>
    <row r="22" spans="2:17" x14ac:dyDescent="0.3">
      <c r="B22" s="492"/>
      <c r="C22" s="5"/>
      <c r="D22" s="5"/>
      <c r="E22" s="28"/>
      <c r="F22" s="74"/>
      <c r="G22" s="74"/>
      <c r="H22" s="89"/>
      <c r="I22" s="116"/>
      <c r="J22" s="5"/>
      <c r="K22" s="184" t="s">
        <v>158</v>
      </c>
      <c r="L22" s="267"/>
      <c r="M22" s="197">
        <v>0</v>
      </c>
      <c r="N22" s="74">
        <f>IFERROR($M22/Overview!$D$31,0)</f>
        <v>0</v>
      </c>
      <c r="O22" s="89">
        <f>IFERROR($M22/Overview!$D$30,0)</f>
        <v>0</v>
      </c>
      <c r="P22" s="116">
        <f t="shared" si="0"/>
        <v>0</v>
      </c>
      <c r="Q22" s="5"/>
    </row>
    <row r="23" spans="2:17" x14ac:dyDescent="0.3">
      <c r="B23" s="45" t="s">
        <v>72</v>
      </c>
      <c r="C23" s="46"/>
      <c r="D23" s="46"/>
      <c r="E23" s="47"/>
      <c r="F23" s="109"/>
      <c r="G23" s="109"/>
      <c r="H23" s="104"/>
      <c r="I23" s="118"/>
      <c r="J23" s="5"/>
      <c r="K23" s="184" t="s">
        <v>159</v>
      </c>
      <c r="L23" s="267"/>
      <c r="M23" s="197">
        <v>0</v>
      </c>
      <c r="N23" s="74">
        <f>IFERROR($M23/Overview!$D$31,0)</f>
        <v>0</v>
      </c>
      <c r="O23" s="89">
        <f>IFERROR($M23/Overview!$D$30,0)</f>
        <v>0</v>
      </c>
      <c r="P23" s="116">
        <f t="shared" si="0"/>
        <v>0</v>
      </c>
      <c r="Q23" s="5"/>
    </row>
    <row r="24" spans="2:17" x14ac:dyDescent="0.3">
      <c r="B24" s="54" t="s">
        <v>160</v>
      </c>
      <c r="C24" s="5"/>
      <c r="D24" s="5"/>
      <c r="E24" s="28"/>
      <c r="F24" s="123"/>
      <c r="G24" s="74"/>
      <c r="H24" s="89"/>
      <c r="I24" s="116"/>
      <c r="J24" s="5"/>
      <c r="K24" s="184" t="s">
        <v>161</v>
      </c>
      <c r="L24" s="267"/>
      <c r="M24" s="197">
        <v>0</v>
      </c>
      <c r="N24" s="74">
        <f>IFERROR($M24/Overview!$D$31,0)</f>
        <v>0</v>
      </c>
      <c r="O24" s="89">
        <f>IFERROR($M24/Overview!$D$30,0)</f>
        <v>0</v>
      </c>
      <c r="P24" s="116">
        <f t="shared" si="0"/>
        <v>0</v>
      </c>
      <c r="Q24" s="5"/>
    </row>
    <row r="25" spans="2:17" x14ac:dyDescent="0.3">
      <c r="B25" s="36" t="s">
        <v>162</v>
      </c>
      <c r="C25" s="5"/>
      <c r="D25" s="5"/>
      <c r="E25" s="28"/>
      <c r="F25" s="197">
        <v>0</v>
      </c>
      <c r="G25" s="74">
        <f>IFERROR($F25/Overview!$D$31,0)</f>
        <v>0</v>
      </c>
      <c r="H25" s="89">
        <f>IFERROR($F25/Overview!$D$30,0)</f>
        <v>0</v>
      </c>
      <c r="I25" s="116">
        <f t="shared" ref="I25:I32" si="1">IFERROR($F25/$F$118,0)</f>
        <v>0</v>
      </c>
      <c r="J25" s="5"/>
      <c r="K25" s="492" t="s">
        <v>163</v>
      </c>
      <c r="L25" s="268"/>
      <c r="M25" s="197">
        <v>0</v>
      </c>
      <c r="N25" s="74">
        <f>IFERROR($M25/Overview!$D$31,0)</f>
        <v>0</v>
      </c>
      <c r="O25" s="89">
        <f>IFERROR($M25/Overview!$D$30,0)</f>
        <v>0</v>
      </c>
      <c r="P25" s="116">
        <f t="shared" si="0"/>
        <v>0</v>
      </c>
      <c r="Q25" s="5"/>
    </row>
    <row r="26" spans="2:17" x14ac:dyDescent="0.3">
      <c r="B26" s="36" t="s">
        <v>164</v>
      </c>
      <c r="C26" s="5"/>
      <c r="D26" s="5"/>
      <c r="E26" s="28"/>
      <c r="F26" s="197">
        <v>0</v>
      </c>
      <c r="G26" s="74">
        <f>IFERROR($F26/Overview!$D$31,0)</f>
        <v>0</v>
      </c>
      <c r="H26" s="89">
        <f>IFERROR($F26/Overview!$D$30,0)</f>
        <v>0</v>
      </c>
      <c r="I26" s="116">
        <f t="shared" si="1"/>
        <v>0</v>
      </c>
      <c r="J26" s="5"/>
      <c r="K26" s="492" t="s">
        <v>165</v>
      </c>
      <c r="L26" s="268"/>
      <c r="M26" s="197">
        <v>0</v>
      </c>
      <c r="N26" s="74">
        <f>IFERROR($M26/Overview!$D$31,0)</f>
        <v>0</v>
      </c>
      <c r="O26" s="89">
        <f>IFERROR($M26/Overview!$D$30,0)</f>
        <v>0</v>
      </c>
      <c r="P26" s="116">
        <f t="shared" si="0"/>
        <v>0</v>
      </c>
      <c r="Q26" s="5"/>
    </row>
    <row r="27" spans="2:17" x14ac:dyDescent="0.3">
      <c r="B27" s="36" t="s">
        <v>166</v>
      </c>
      <c r="C27" s="5"/>
      <c r="D27" s="5"/>
      <c r="E27" s="28"/>
      <c r="F27" s="197">
        <v>0</v>
      </c>
      <c r="G27" s="74">
        <f>IFERROR($F27/Overview!$D$31,0)</f>
        <v>0</v>
      </c>
      <c r="H27" s="89">
        <f>IFERROR($F27/Overview!$D$30,0)</f>
        <v>0</v>
      </c>
      <c r="I27" s="116">
        <f t="shared" si="1"/>
        <v>0</v>
      </c>
      <c r="J27" s="5"/>
      <c r="K27" s="492" t="s">
        <v>167</v>
      </c>
      <c r="L27" s="268"/>
      <c r="M27" s="197">
        <v>0</v>
      </c>
      <c r="N27" s="74">
        <f>IFERROR($M27/Overview!$D$31,0)</f>
        <v>0</v>
      </c>
      <c r="O27" s="89">
        <f>IFERROR($M27/Overview!$D$30,0)</f>
        <v>0</v>
      </c>
      <c r="P27" s="116">
        <f t="shared" si="0"/>
        <v>0</v>
      </c>
      <c r="Q27" s="5"/>
    </row>
    <row r="28" spans="2:17" x14ac:dyDescent="0.3">
      <c r="B28" s="36" t="s">
        <v>168</v>
      </c>
      <c r="C28" s="5"/>
      <c r="D28" s="5"/>
      <c r="E28" s="28"/>
      <c r="F28" s="197">
        <v>0</v>
      </c>
      <c r="G28" s="74">
        <f>IFERROR($F28/Overview!$D$31,0)</f>
        <v>0</v>
      </c>
      <c r="H28" s="89">
        <f>IFERROR($F28/Overview!$D$30,0)</f>
        <v>0</v>
      </c>
      <c r="I28" s="116">
        <f t="shared" si="1"/>
        <v>0</v>
      </c>
      <c r="J28" s="5"/>
      <c r="K28" s="492" t="s">
        <v>169</v>
      </c>
      <c r="L28" s="268"/>
      <c r="M28" s="197">
        <v>0</v>
      </c>
      <c r="N28" s="74">
        <f>IFERROR($M28/Overview!$D$31,0)</f>
        <v>0</v>
      </c>
      <c r="O28" s="89">
        <f>IFERROR($M28/Overview!$D$30,0)</f>
        <v>0</v>
      </c>
      <c r="P28" s="116">
        <f t="shared" si="0"/>
        <v>0</v>
      </c>
      <c r="Q28" s="5"/>
    </row>
    <row r="29" spans="2:17" x14ac:dyDescent="0.3">
      <c r="B29" s="36" t="s">
        <v>170</v>
      </c>
      <c r="C29" s="5"/>
      <c r="D29" s="5"/>
      <c r="E29" s="28"/>
      <c r="F29" s="197">
        <v>0</v>
      </c>
      <c r="G29" s="74">
        <f>IFERROR($F29/Overview!$D$31,0)</f>
        <v>0</v>
      </c>
      <c r="H29" s="89">
        <f>IFERROR($F29/Overview!$D$30,0)</f>
        <v>0</v>
      </c>
      <c r="I29" s="116">
        <f t="shared" si="1"/>
        <v>0</v>
      </c>
      <c r="J29" s="5"/>
      <c r="K29" s="492" t="s">
        <v>47</v>
      </c>
      <c r="L29" s="268"/>
      <c r="M29" s="197">
        <v>0</v>
      </c>
      <c r="N29" s="74">
        <f>IFERROR($M29/Overview!$D$31,0)</f>
        <v>0</v>
      </c>
      <c r="O29" s="89">
        <f>IFERROR($M29/Overview!$D$30,0)</f>
        <v>0</v>
      </c>
      <c r="P29" s="116">
        <f t="shared" si="0"/>
        <v>0</v>
      </c>
      <c r="Q29" s="5"/>
    </row>
    <row r="30" spans="2:17" x14ac:dyDescent="0.3">
      <c r="B30" s="36" t="s">
        <v>171</v>
      </c>
      <c r="C30" s="5"/>
      <c r="D30" s="5"/>
      <c r="E30" s="28"/>
      <c r="F30" s="197">
        <v>0</v>
      </c>
      <c r="G30" s="74">
        <f>IFERROR($F30/Overview!$D$31,0)</f>
        <v>0</v>
      </c>
      <c r="H30" s="89">
        <f>IFERROR($F30/Overview!$D$30,0)</f>
        <v>0</v>
      </c>
      <c r="I30" s="116">
        <f t="shared" si="1"/>
        <v>0</v>
      </c>
      <c r="J30" s="5"/>
      <c r="K30" s="492" t="s">
        <v>172</v>
      </c>
      <c r="L30" s="268"/>
      <c r="M30" s="197">
        <v>0</v>
      </c>
      <c r="N30" s="74">
        <f>IFERROR($M30/Overview!$D$31,0)</f>
        <v>0</v>
      </c>
      <c r="O30" s="89">
        <f>IFERROR($M30/Overview!$D$30,0)</f>
        <v>0</v>
      </c>
      <c r="P30" s="116">
        <f t="shared" si="0"/>
        <v>0</v>
      </c>
      <c r="Q30" s="5"/>
    </row>
    <row r="31" spans="2:17" x14ac:dyDescent="0.3">
      <c r="B31" s="201" t="s">
        <v>173</v>
      </c>
      <c r="C31" s="202"/>
      <c r="D31" s="202"/>
      <c r="E31" s="185"/>
      <c r="F31" s="197">
        <v>0</v>
      </c>
      <c r="G31" s="74">
        <f>IFERROR($F31/Overview!$D$31,0)</f>
        <v>0</v>
      </c>
      <c r="H31" s="89">
        <f>IFERROR($F31/Overview!$D$30,0)</f>
        <v>0</v>
      </c>
      <c r="I31" s="116">
        <f t="shared" si="1"/>
        <v>0</v>
      </c>
      <c r="J31" s="5"/>
      <c r="K31" s="492" t="s">
        <v>174</v>
      </c>
      <c r="L31" s="268"/>
      <c r="M31" s="197">
        <v>0</v>
      </c>
      <c r="N31" s="74">
        <f>IFERROR($M31/Overview!$D$31,0)</f>
        <v>0</v>
      </c>
      <c r="O31" s="89">
        <f>IFERROR($M31/Overview!$D$30,0)</f>
        <v>0</v>
      </c>
      <c r="P31" s="116">
        <f t="shared" si="0"/>
        <v>0</v>
      </c>
      <c r="Q31" s="5"/>
    </row>
    <row r="32" spans="2:17" x14ac:dyDescent="0.3">
      <c r="B32" s="53" t="s">
        <v>175</v>
      </c>
      <c r="C32" s="44"/>
      <c r="D32" s="44"/>
      <c r="E32" s="42"/>
      <c r="F32" s="80">
        <f>SUM(F24:F31)</f>
        <v>0</v>
      </c>
      <c r="G32" s="80">
        <f>IFERROR($F32/Overview!$D$31,0)</f>
        <v>0</v>
      </c>
      <c r="H32" s="79">
        <f>IFERROR($F32/Overview!$D$30,0)</f>
        <v>0</v>
      </c>
      <c r="I32" s="119">
        <f t="shared" si="1"/>
        <v>0</v>
      </c>
      <c r="J32" s="5"/>
      <c r="K32" s="492" t="s">
        <v>176</v>
      </c>
      <c r="L32" s="268"/>
      <c r="M32" s="124">
        <f>$M$59-SUM($M$18:$M$31,$M$33:$M$34)</f>
        <v>0</v>
      </c>
      <c r="N32" s="74">
        <f>IFERROR($M32/Overview!$D$31,0)</f>
        <v>0</v>
      </c>
      <c r="O32" s="89">
        <f>IFERROR($M32/Overview!$D$30,0)</f>
        <v>0</v>
      </c>
      <c r="P32" s="116">
        <f t="shared" si="0"/>
        <v>0</v>
      </c>
      <c r="Q32" s="5"/>
    </row>
    <row r="33" spans="2:17" x14ac:dyDescent="0.3">
      <c r="B33" s="492"/>
      <c r="C33" s="5"/>
      <c r="D33" s="5"/>
      <c r="E33" s="28"/>
      <c r="F33" s="74"/>
      <c r="G33" s="74"/>
      <c r="H33" s="89"/>
      <c r="I33" s="116"/>
      <c r="J33" s="5"/>
      <c r="K33" s="184" t="s">
        <v>177</v>
      </c>
      <c r="L33" s="267"/>
      <c r="M33" s="197">
        <v>0</v>
      </c>
      <c r="N33" s="74">
        <f>IFERROR($M33/Overview!$D$31,0)</f>
        <v>0</v>
      </c>
      <c r="O33" s="89">
        <f>IFERROR($M33/Overview!$D$30,0)</f>
        <v>0</v>
      </c>
      <c r="P33" s="116">
        <f t="shared" si="0"/>
        <v>0</v>
      </c>
      <c r="Q33" s="5"/>
    </row>
    <row r="34" spans="2:17" x14ac:dyDescent="0.3">
      <c r="B34" s="54" t="s">
        <v>178</v>
      </c>
      <c r="C34" s="5"/>
      <c r="D34" s="5"/>
      <c r="E34" s="28"/>
      <c r="F34" s="74"/>
      <c r="G34" s="74"/>
      <c r="H34" s="89"/>
      <c r="I34" s="116"/>
      <c r="J34" s="5"/>
      <c r="K34" s="184" t="s">
        <v>177</v>
      </c>
      <c r="L34" s="267"/>
      <c r="M34" s="197">
        <v>0</v>
      </c>
      <c r="N34" s="74">
        <f>IFERROR($M34/Overview!$D$31,0)</f>
        <v>0</v>
      </c>
      <c r="O34" s="89">
        <f>IFERROR($M34/Overview!$D$30,0)</f>
        <v>0</v>
      </c>
      <c r="P34" s="116">
        <f t="shared" si="0"/>
        <v>0</v>
      </c>
      <c r="Q34" s="5"/>
    </row>
    <row r="35" spans="2:17" x14ac:dyDescent="0.3">
      <c r="B35" s="36" t="s">
        <v>179</v>
      </c>
      <c r="C35" s="5"/>
      <c r="D35" s="5"/>
      <c r="E35" s="199">
        <v>0</v>
      </c>
      <c r="F35" s="124">
        <f>$E35*SUM(F$32:F34)</f>
        <v>0</v>
      </c>
      <c r="G35" s="74">
        <f>IFERROR($F35/Overview!$D$31,0)</f>
        <v>0</v>
      </c>
      <c r="H35" s="89">
        <f>IFERROR($F35/Overview!$D$30,0)</f>
        <v>0</v>
      </c>
      <c r="I35" s="116">
        <f t="shared" ref="I35:I44" si="2">IFERROR($F35/$F$118,0)</f>
        <v>0</v>
      </c>
      <c r="J35" s="5"/>
      <c r="K35" s="41" t="s">
        <v>180</v>
      </c>
      <c r="L35" s="42"/>
      <c r="M35" s="80">
        <f>SUM(M18:M34)</f>
        <v>0</v>
      </c>
      <c r="N35" s="80">
        <f>IFERROR($M35/Overview!$D$31,0)</f>
        <v>0</v>
      </c>
      <c r="O35" s="79">
        <f>IFERROR($M35/Overview!$D$30,0)</f>
        <v>0</v>
      </c>
      <c r="P35" s="119">
        <f t="shared" si="0"/>
        <v>0</v>
      </c>
      <c r="Q35" s="5"/>
    </row>
    <row r="36" spans="2:17" x14ac:dyDescent="0.3">
      <c r="B36" s="36" t="s">
        <v>181</v>
      </c>
      <c r="C36" s="5"/>
      <c r="D36" s="5"/>
      <c r="E36" s="199">
        <v>0</v>
      </c>
      <c r="F36" s="124">
        <f>$E36*SUM(F$32:F35)</f>
        <v>0</v>
      </c>
      <c r="G36" s="74">
        <f>IFERROR($F36/Overview!$D$31,0)</f>
        <v>0</v>
      </c>
      <c r="H36" s="89">
        <f>IFERROR($F36/Overview!$D$30,0)</f>
        <v>0</v>
      </c>
      <c r="I36" s="116">
        <f t="shared" si="2"/>
        <v>0</v>
      </c>
      <c r="J36" s="5"/>
      <c r="K36" s="100"/>
      <c r="L36" s="28"/>
      <c r="M36" s="74" t="b">
        <f>M35=$M$59</f>
        <v>1</v>
      </c>
      <c r="N36" s="74"/>
      <c r="O36" s="89"/>
      <c r="P36" s="116"/>
      <c r="Q36" s="5"/>
    </row>
    <row r="37" spans="2:17" x14ac:dyDescent="0.3">
      <c r="B37" s="36" t="s">
        <v>182</v>
      </c>
      <c r="C37" s="5"/>
      <c r="D37" s="5"/>
      <c r="E37" s="199">
        <v>0</v>
      </c>
      <c r="F37" s="124">
        <f>$E37*SUM(F$32:F36)</f>
        <v>0</v>
      </c>
      <c r="G37" s="74">
        <f>IFERROR($F37/Overview!$D$31,0)</f>
        <v>0</v>
      </c>
      <c r="H37" s="89">
        <f>IFERROR($F37/Overview!$D$30,0)</f>
        <v>0</v>
      </c>
      <c r="I37" s="116">
        <f t="shared" si="2"/>
        <v>0</v>
      </c>
      <c r="J37" s="5"/>
      <c r="K37" s="45" t="s">
        <v>57</v>
      </c>
      <c r="L37" s="47"/>
      <c r="M37" s="109"/>
      <c r="N37" s="109"/>
      <c r="O37" s="104"/>
      <c r="P37" s="118"/>
      <c r="Q37" s="5"/>
    </row>
    <row r="38" spans="2:17" x14ac:dyDescent="0.3">
      <c r="B38" s="36" t="s">
        <v>183</v>
      </c>
      <c r="C38" s="5"/>
      <c r="D38" s="5"/>
      <c r="E38" s="199">
        <v>0</v>
      </c>
      <c r="F38" s="124">
        <f>$E38*SUM(F$32:F37)</f>
        <v>0</v>
      </c>
      <c r="G38" s="74">
        <f>IFERROR($F38/Overview!$D$31,0)</f>
        <v>0</v>
      </c>
      <c r="H38" s="89">
        <f>IFERROR($F38/Overview!$D$30,0)</f>
        <v>0</v>
      </c>
      <c r="I38" s="116">
        <f t="shared" si="2"/>
        <v>0</v>
      </c>
      <c r="J38" s="5"/>
      <c r="K38" s="184" t="s">
        <v>184</v>
      </c>
      <c r="L38" s="185"/>
      <c r="M38" s="197">
        <v>0</v>
      </c>
      <c r="N38" s="74">
        <f>IFERROR($M38/Overview!$D$31,0)</f>
        <v>0</v>
      </c>
      <c r="O38" s="89">
        <f>IFERROR($M38/Overview!$D$30,0)</f>
        <v>0</v>
      </c>
      <c r="P38" s="116">
        <f t="shared" ref="P38:P53" si="3">IFERROR($M38/$M$59,0)</f>
        <v>0</v>
      </c>
      <c r="Q38" s="5"/>
    </row>
    <row r="39" spans="2:17" x14ac:dyDescent="0.3">
      <c r="B39" s="36" t="s">
        <v>185</v>
      </c>
      <c r="C39" s="5"/>
      <c r="D39" s="5"/>
      <c r="E39" s="199">
        <v>0</v>
      </c>
      <c r="F39" s="124">
        <f>$E39*SUM(F$32:F38)</f>
        <v>0</v>
      </c>
      <c r="G39" s="74">
        <f>IFERROR($F39/Overview!$D$31,0)</f>
        <v>0</v>
      </c>
      <c r="H39" s="89">
        <f>IFERROR($F39/Overview!$D$30,0)</f>
        <v>0</v>
      </c>
      <c r="I39" s="116">
        <f t="shared" si="2"/>
        <v>0</v>
      </c>
      <c r="J39" s="5"/>
      <c r="K39" s="184" t="s">
        <v>153</v>
      </c>
      <c r="L39" s="185"/>
      <c r="M39" s="197">
        <v>0</v>
      </c>
      <c r="N39" s="74">
        <f>IFERROR($M39/Overview!$D$31,0)</f>
        <v>0</v>
      </c>
      <c r="O39" s="89">
        <f>IFERROR($M39/Overview!$D$30,0)</f>
        <v>0</v>
      </c>
      <c r="P39" s="116">
        <f t="shared" si="3"/>
        <v>0</v>
      </c>
      <c r="Q39" s="5"/>
    </row>
    <row r="40" spans="2:17" x14ac:dyDescent="0.3">
      <c r="B40" s="36" t="s">
        <v>186</v>
      </c>
      <c r="C40" s="5"/>
      <c r="D40" s="5"/>
      <c r="E40" s="199">
        <v>0</v>
      </c>
      <c r="F40" s="124">
        <f>$E40*SUM(F$32:F39)</f>
        <v>0</v>
      </c>
      <c r="G40" s="74">
        <f>IFERROR($F40/Overview!$D$31,0)</f>
        <v>0</v>
      </c>
      <c r="H40" s="89">
        <f>IFERROR($F40/Overview!$D$30,0)</f>
        <v>0</v>
      </c>
      <c r="I40" s="116">
        <f t="shared" si="2"/>
        <v>0</v>
      </c>
      <c r="J40" s="5"/>
      <c r="K40" s="184" t="s">
        <v>155</v>
      </c>
      <c r="L40" s="185"/>
      <c r="M40" s="197">
        <v>0</v>
      </c>
      <c r="N40" s="74">
        <f>IFERROR($M40/Overview!$D$31,0)</f>
        <v>0</v>
      </c>
      <c r="O40" s="89">
        <f>IFERROR($M40/Overview!$D$30,0)</f>
        <v>0</v>
      </c>
      <c r="P40" s="116">
        <f t="shared" si="3"/>
        <v>0</v>
      </c>
      <c r="Q40" s="5"/>
    </row>
    <row r="41" spans="2:17" x14ac:dyDescent="0.3">
      <c r="B41" s="36" t="s">
        <v>187</v>
      </c>
      <c r="C41" s="5"/>
      <c r="D41" s="5"/>
      <c r="E41" s="199">
        <v>0</v>
      </c>
      <c r="F41" s="124">
        <f>$E41*SUM(F$32:F40)</f>
        <v>0</v>
      </c>
      <c r="G41" s="74">
        <f>IFERROR($F41/Overview!$D$31,0)</f>
        <v>0</v>
      </c>
      <c r="H41" s="89">
        <f>IFERROR($F41/Overview!$D$30,0)</f>
        <v>0</v>
      </c>
      <c r="I41" s="116">
        <f t="shared" si="2"/>
        <v>0</v>
      </c>
      <c r="J41" s="5"/>
      <c r="K41" s="184" t="s">
        <v>157</v>
      </c>
      <c r="L41" s="185"/>
      <c r="M41" s="197">
        <v>0</v>
      </c>
      <c r="N41" s="74">
        <f>IFERROR($M41/Overview!$D$31,0)</f>
        <v>0</v>
      </c>
      <c r="O41" s="89">
        <f>IFERROR($M41/Overview!$D$30,0)</f>
        <v>0</v>
      </c>
      <c r="P41" s="116">
        <f t="shared" si="3"/>
        <v>0</v>
      </c>
      <c r="Q41" s="5"/>
    </row>
    <row r="42" spans="2:17" x14ac:dyDescent="0.3">
      <c r="B42" s="36" t="s">
        <v>188</v>
      </c>
      <c r="C42" s="5"/>
      <c r="D42" s="5"/>
      <c r="E42" s="251"/>
      <c r="F42" s="197">
        <v>0</v>
      </c>
      <c r="G42" s="74">
        <f>IFERROR($F42/Overview!$D$31,0)</f>
        <v>0</v>
      </c>
      <c r="H42" s="89">
        <f>IFERROR($F42/Overview!$D$30,0)</f>
        <v>0</v>
      </c>
      <c r="I42" s="116">
        <f t="shared" si="2"/>
        <v>0</v>
      </c>
      <c r="J42" s="5"/>
      <c r="K42" s="184" t="s">
        <v>158</v>
      </c>
      <c r="L42" s="185"/>
      <c r="M42" s="197">
        <v>0</v>
      </c>
      <c r="N42" s="74">
        <f>IFERROR($M42/Overview!$D$31,0)</f>
        <v>0</v>
      </c>
      <c r="O42" s="89">
        <f>IFERROR($M42/Overview!$D$30,0)</f>
        <v>0</v>
      </c>
      <c r="P42" s="116">
        <f t="shared" si="3"/>
        <v>0</v>
      </c>
      <c r="Q42" s="5"/>
    </row>
    <row r="43" spans="2:17" x14ac:dyDescent="0.3">
      <c r="B43" s="201" t="s">
        <v>189</v>
      </c>
      <c r="C43" s="202"/>
      <c r="D43" s="202"/>
      <c r="E43" s="185"/>
      <c r="F43" s="197">
        <v>0</v>
      </c>
      <c r="G43" s="74">
        <f>IFERROR($F43/Overview!$D$31,0)</f>
        <v>0</v>
      </c>
      <c r="H43" s="89">
        <f>IFERROR($F43/Overview!$D$30,0)</f>
        <v>0</v>
      </c>
      <c r="I43" s="116">
        <f t="shared" si="2"/>
        <v>0</v>
      </c>
      <c r="J43" s="5"/>
      <c r="K43" s="184" t="s">
        <v>159</v>
      </c>
      <c r="L43" s="185"/>
      <c r="M43" s="197">
        <v>0</v>
      </c>
      <c r="N43" s="74">
        <f>IFERROR($M43/Overview!$D$31,0)</f>
        <v>0</v>
      </c>
      <c r="O43" s="89">
        <f>IFERROR($M43/Overview!$D$30,0)</f>
        <v>0</v>
      </c>
      <c r="P43" s="116">
        <f t="shared" si="3"/>
        <v>0</v>
      </c>
      <c r="Q43" s="5"/>
    </row>
    <row r="44" spans="2:17" x14ac:dyDescent="0.3">
      <c r="B44" s="53" t="s">
        <v>190</v>
      </c>
      <c r="C44" s="44"/>
      <c r="D44" s="44"/>
      <c r="E44" s="42"/>
      <c r="F44" s="80">
        <f>SUM(F35:F43)</f>
        <v>0</v>
      </c>
      <c r="G44" s="80">
        <f>IFERROR($F44/Overview!$D$31,0)</f>
        <v>0</v>
      </c>
      <c r="H44" s="79">
        <f>IFERROR($F44/Overview!$D$30,0)</f>
        <v>0</v>
      </c>
      <c r="I44" s="119">
        <f t="shared" si="2"/>
        <v>0</v>
      </c>
      <c r="J44" s="5"/>
      <c r="K44" s="184" t="s">
        <v>161</v>
      </c>
      <c r="L44" s="185"/>
      <c r="M44" s="197">
        <v>0</v>
      </c>
      <c r="N44" s="74">
        <f>IFERROR($M44/Overview!$D$31,0)</f>
        <v>0</v>
      </c>
      <c r="O44" s="89">
        <f>IFERROR($M44/Overview!$D$30,0)</f>
        <v>0</v>
      </c>
      <c r="P44" s="116">
        <f t="shared" si="3"/>
        <v>0</v>
      </c>
      <c r="Q44" s="5"/>
    </row>
    <row r="45" spans="2:17" x14ac:dyDescent="0.3">
      <c r="B45" s="492"/>
      <c r="C45" s="5"/>
      <c r="D45" s="5"/>
      <c r="E45" s="28"/>
      <c r="F45" s="74"/>
      <c r="G45" s="74"/>
      <c r="H45" s="89"/>
      <c r="I45" s="116"/>
      <c r="J45" s="5"/>
      <c r="K45" s="492" t="s">
        <v>191</v>
      </c>
      <c r="L45" s="28"/>
      <c r="M45" s="197">
        <v>0</v>
      </c>
      <c r="N45" s="74">
        <f>IFERROR($M45/Overview!$D$31,0)</f>
        <v>0</v>
      </c>
      <c r="O45" s="89">
        <f>IFERROR($M45/Overview!$D$30,0)</f>
        <v>0</v>
      </c>
      <c r="P45" s="116">
        <f t="shared" si="3"/>
        <v>0</v>
      </c>
      <c r="Q45" s="5"/>
    </row>
    <row r="46" spans="2:17" x14ac:dyDescent="0.3">
      <c r="B46" s="57" t="s">
        <v>192</v>
      </c>
      <c r="C46" s="51"/>
      <c r="D46" s="51"/>
      <c r="E46" s="354" t="str">
        <f>IF(F46=0,"NA",IF(Overview!D12="Occupied Rehab",$G$46&gt;=5000,$G$46&gt;=15000))</f>
        <v>NA</v>
      </c>
      <c r="F46" s="110">
        <f>SUM(F44,F32)</f>
        <v>0</v>
      </c>
      <c r="G46" s="110">
        <f>IFERROR($F46/Overview!$D$31,0)</f>
        <v>0</v>
      </c>
      <c r="H46" s="105">
        <f>IFERROR($F46/Overview!$D$30,0)</f>
        <v>0</v>
      </c>
      <c r="I46" s="117">
        <f>IFERROR($F46/$F$118,0)</f>
        <v>0</v>
      </c>
      <c r="J46" s="5"/>
      <c r="K46" s="492" t="s">
        <v>193</v>
      </c>
      <c r="L46" s="28"/>
      <c r="M46" s="197">
        <v>0</v>
      </c>
      <c r="N46" s="74">
        <f>IFERROR($M46/Overview!$D$31,0)</f>
        <v>0</v>
      </c>
      <c r="O46" s="89">
        <f>IFERROR($M46/Overview!$D$30,0)</f>
        <v>0</v>
      </c>
      <c r="P46" s="116">
        <f t="shared" si="3"/>
        <v>0</v>
      </c>
      <c r="Q46" s="5"/>
    </row>
    <row r="47" spans="2:17" x14ac:dyDescent="0.3">
      <c r="B47" s="492"/>
      <c r="C47" s="5"/>
      <c r="D47" s="5"/>
      <c r="E47" s="28"/>
      <c r="F47" s="74"/>
      <c r="G47" s="74"/>
      <c r="H47" s="89"/>
      <c r="I47" s="116"/>
      <c r="J47" s="5"/>
      <c r="K47" s="492" t="s">
        <v>47</v>
      </c>
      <c r="L47" s="28"/>
      <c r="M47" s="197">
        <v>0</v>
      </c>
      <c r="N47" s="74">
        <f>IFERROR($M47/Overview!$D$31,0)</f>
        <v>0</v>
      </c>
      <c r="O47" s="89">
        <f>IFERROR($M47/Overview!$D$30,0)</f>
        <v>0</v>
      </c>
      <c r="P47" s="116">
        <f t="shared" si="3"/>
        <v>0</v>
      </c>
      <c r="Q47" s="5"/>
    </row>
    <row r="48" spans="2:17" x14ac:dyDescent="0.3">
      <c r="B48" s="45" t="s">
        <v>73</v>
      </c>
      <c r="C48" s="46"/>
      <c r="D48" s="46"/>
      <c r="E48" s="47"/>
      <c r="F48" s="109"/>
      <c r="G48" s="109"/>
      <c r="H48" s="104"/>
      <c r="I48" s="118"/>
      <c r="J48" s="5"/>
      <c r="K48" s="492" t="s">
        <v>172</v>
      </c>
      <c r="L48" s="28"/>
      <c r="M48" s="197">
        <v>0</v>
      </c>
      <c r="N48" s="74">
        <f>IFERROR($M48/Overview!$D$31,0)</f>
        <v>0</v>
      </c>
      <c r="O48" s="89">
        <f>IFERROR($M48/Overview!$D$30,0)</f>
        <v>0</v>
      </c>
      <c r="P48" s="116">
        <f t="shared" si="3"/>
        <v>0</v>
      </c>
      <c r="Q48" s="5"/>
    </row>
    <row r="49" spans="2:20" x14ac:dyDescent="0.3">
      <c r="B49" s="54" t="s">
        <v>194</v>
      </c>
      <c r="C49" s="5"/>
      <c r="D49" s="5"/>
      <c r="E49" s="28"/>
      <c r="F49" s="74"/>
      <c r="G49" s="74"/>
      <c r="H49" s="89"/>
      <c r="I49" s="116"/>
      <c r="J49" s="5"/>
      <c r="K49" s="492" t="s">
        <v>174</v>
      </c>
      <c r="L49" s="28"/>
      <c r="M49" s="197">
        <v>0</v>
      </c>
      <c r="N49" s="74">
        <f>IFERROR($M49/Overview!$D$31,0)</f>
        <v>0</v>
      </c>
      <c r="O49" s="89">
        <f>IFERROR($M49/Overview!$D$30,0)</f>
        <v>0</v>
      </c>
      <c r="P49" s="116">
        <f t="shared" si="3"/>
        <v>0</v>
      </c>
      <c r="Q49" s="5"/>
    </row>
    <row r="50" spans="2:20" x14ac:dyDescent="0.3">
      <c r="B50" s="36" t="s">
        <v>195</v>
      </c>
      <c r="C50" s="5"/>
      <c r="D50" s="5"/>
      <c r="E50" s="28"/>
      <c r="F50" s="197">
        <v>0</v>
      </c>
      <c r="G50" s="74">
        <f>IFERROR($F50/Overview!$D$31,0)</f>
        <v>0</v>
      </c>
      <c r="H50" s="89">
        <f>IFERROR($F50/Overview!$D$30,0)</f>
        <v>0</v>
      </c>
      <c r="I50" s="116">
        <f t="shared" ref="I50:I57" si="4">IFERROR($F50/$F$118,0)</f>
        <v>0</v>
      </c>
      <c r="J50" s="5"/>
      <c r="K50" s="492" t="s">
        <v>176</v>
      </c>
      <c r="L50" s="28"/>
      <c r="M50" s="124">
        <f>$M$59-SUM($M$38:$M$49,$M$51:$M$52)</f>
        <v>0</v>
      </c>
      <c r="N50" s="74">
        <f>IFERROR($M50/Overview!$D$31,0)</f>
        <v>0</v>
      </c>
      <c r="O50" s="89">
        <f>IFERROR($M50/Overview!$D$30,0)</f>
        <v>0</v>
      </c>
      <c r="P50" s="116">
        <f t="shared" si="3"/>
        <v>0</v>
      </c>
      <c r="Q50" s="5"/>
    </row>
    <row r="51" spans="2:20" x14ac:dyDescent="0.3">
      <c r="B51" s="36" t="s">
        <v>196</v>
      </c>
      <c r="C51" s="5"/>
      <c r="D51" s="5"/>
      <c r="E51" s="28"/>
      <c r="F51" s="197">
        <v>0</v>
      </c>
      <c r="G51" s="74">
        <f>IFERROR($F51/Overview!$D$31,0)</f>
        <v>0</v>
      </c>
      <c r="H51" s="89">
        <f>IFERROR($F51/Overview!$D$30,0)</f>
        <v>0</v>
      </c>
      <c r="I51" s="116">
        <f t="shared" si="4"/>
        <v>0</v>
      </c>
      <c r="J51" s="5"/>
      <c r="K51" s="184" t="s">
        <v>197</v>
      </c>
      <c r="L51" s="185"/>
      <c r="M51" s="197">
        <v>0</v>
      </c>
      <c r="N51" s="74">
        <f>IFERROR($M51/Overview!$D$31,0)</f>
        <v>0</v>
      </c>
      <c r="O51" s="89">
        <f>IFERROR($M51/Overview!$D$30,0)</f>
        <v>0</v>
      </c>
      <c r="P51" s="116">
        <f t="shared" si="3"/>
        <v>0</v>
      </c>
      <c r="Q51" s="5"/>
    </row>
    <row r="52" spans="2:20" x14ac:dyDescent="0.3">
      <c r="B52" s="36" t="s">
        <v>198</v>
      </c>
      <c r="C52" s="5"/>
      <c r="D52" s="5"/>
      <c r="E52" s="28"/>
      <c r="F52" s="197">
        <v>0</v>
      </c>
      <c r="G52" s="74">
        <f>IFERROR($F52/Overview!$D$31,0)</f>
        <v>0</v>
      </c>
      <c r="H52" s="89">
        <f>IFERROR($F52/Overview!$D$30,0)</f>
        <v>0</v>
      </c>
      <c r="I52" s="116">
        <f t="shared" si="4"/>
        <v>0</v>
      </c>
      <c r="J52" s="5"/>
      <c r="K52" s="184" t="s">
        <v>197</v>
      </c>
      <c r="L52" s="185"/>
      <c r="M52" s="197">
        <v>0</v>
      </c>
      <c r="N52" s="74">
        <f>IFERROR($M52/Overview!$D$31,0)</f>
        <v>0</v>
      </c>
      <c r="O52" s="89">
        <f>IFERROR($M52/Overview!$D$30,0)</f>
        <v>0</v>
      </c>
      <c r="P52" s="116">
        <f t="shared" si="3"/>
        <v>0</v>
      </c>
      <c r="Q52" s="5"/>
    </row>
    <row r="53" spans="2:20" x14ac:dyDescent="0.3">
      <c r="B53" s="36" t="s">
        <v>199</v>
      </c>
      <c r="C53" s="5"/>
      <c r="D53" s="5"/>
      <c r="E53" s="28"/>
      <c r="F53" s="197">
        <v>0</v>
      </c>
      <c r="G53" s="74">
        <f>IFERROR($F53/Overview!$D$31,0)</f>
        <v>0</v>
      </c>
      <c r="H53" s="89">
        <f>IFERROR($F53/Overview!$D$30,0)</f>
        <v>0</v>
      </c>
      <c r="I53" s="116">
        <f t="shared" si="4"/>
        <v>0</v>
      </c>
      <c r="J53" s="5"/>
      <c r="K53" s="41" t="s">
        <v>67</v>
      </c>
      <c r="L53" s="42"/>
      <c r="M53" s="80">
        <f>SUM(M38:M52)</f>
        <v>0</v>
      </c>
      <c r="N53" s="80">
        <f>IFERROR($M53/Overview!$D$31,0)</f>
        <v>0</v>
      </c>
      <c r="O53" s="79">
        <f>IFERROR($M53/Overview!$D$30,0)</f>
        <v>0</v>
      </c>
      <c r="P53" s="119">
        <f t="shared" si="3"/>
        <v>0</v>
      </c>
      <c r="Q53" s="5"/>
    </row>
    <row r="54" spans="2:20" x14ac:dyDescent="0.3">
      <c r="B54" s="36" t="s">
        <v>200</v>
      </c>
      <c r="C54" s="5"/>
      <c r="D54" s="5"/>
      <c r="E54" s="28"/>
      <c r="F54" s="197">
        <v>0</v>
      </c>
      <c r="G54" s="74">
        <f>IFERROR($F54/Overview!$D$31,0)</f>
        <v>0</v>
      </c>
      <c r="H54" s="89">
        <f>IFERROR($F54/Overview!$D$30,0)</f>
        <v>0</v>
      </c>
      <c r="I54" s="116">
        <f t="shared" si="4"/>
        <v>0</v>
      </c>
      <c r="J54" s="5"/>
      <c r="K54" s="100"/>
      <c r="L54" s="28"/>
      <c r="M54" s="74" t="b">
        <f>M53=$M$59</f>
        <v>1</v>
      </c>
      <c r="N54" s="74"/>
      <c r="O54" s="89"/>
      <c r="P54" s="116"/>
      <c r="Q54" s="5"/>
    </row>
    <row r="55" spans="2:20" x14ac:dyDescent="0.3">
      <c r="B55" s="36" t="s">
        <v>201</v>
      </c>
      <c r="C55" s="5"/>
      <c r="D55" s="5"/>
      <c r="E55" s="28"/>
      <c r="F55" s="197">
        <v>0</v>
      </c>
      <c r="G55" s="74">
        <f>IFERROR($F55/Overview!$D$31,0)</f>
        <v>0</v>
      </c>
      <c r="H55" s="89">
        <f>IFERROR($F55/Overview!$D$30,0)</f>
        <v>0</v>
      </c>
      <c r="I55" s="116">
        <f t="shared" si="4"/>
        <v>0</v>
      </c>
      <c r="J55" s="5"/>
      <c r="K55" s="45" t="s">
        <v>69</v>
      </c>
      <c r="L55" s="47"/>
      <c r="M55" s="109"/>
      <c r="N55" s="109"/>
      <c r="O55" s="104"/>
      <c r="P55" s="118"/>
      <c r="Q55" s="5"/>
    </row>
    <row r="56" spans="2:20" x14ac:dyDescent="0.3">
      <c r="B56" s="201" t="s">
        <v>202</v>
      </c>
      <c r="C56" s="202"/>
      <c r="D56" s="202"/>
      <c r="E56" s="185"/>
      <c r="F56" s="197">
        <v>0</v>
      </c>
      <c r="G56" s="74">
        <f>IFERROR($F56/Overview!$D$31,0)</f>
        <v>0</v>
      </c>
      <c r="H56" s="89">
        <f>IFERROR($F56/Overview!$D$30,0)</f>
        <v>0</v>
      </c>
      <c r="I56" s="116">
        <f t="shared" si="4"/>
        <v>0</v>
      </c>
      <c r="J56" s="5"/>
      <c r="K56" s="492" t="s">
        <v>203</v>
      </c>
      <c r="L56" s="28"/>
      <c r="M56" s="124">
        <f>$F$21</f>
        <v>0</v>
      </c>
      <c r="N56" s="74">
        <f>IFERROR($M56/Overview!$D$31,0)</f>
        <v>0</v>
      </c>
      <c r="O56" s="89">
        <f>IFERROR($M56/Overview!$D$30,0)</f>
        <v>0</v>
      </c>
      <c r="P56" s="116">
        <f>IFERROR($M56/$M$59,0)</f>
        <v>0</v>
      </c>
      <c r="Q56" s="5"/>
    </row>
    <row r="57" spans="2:20" x14ac:dyDescent="0.3">
      <c r="B57" s="53" t="s">
        <v>204</v>
      </c>
      <c r="C57" s="44"/>
      <c r="D57" s="44"/>
      <c r="E57" s="42"/>
      <c r="F57" s="80">
        <f>SUM(F50:F56)</f>
        <v>0</v>
      </c>
      <c r="G57" s="80">
        <f>IFERROR($F57/Overview!$D$31,0)</f>
        <v>0</v>
      </c>
      <c r="H57" s="79">
        <f>IFERROR($F57/Overview!$D$30,0)</f>
        <v>0</v>
      </c>
      <c r="I57" s="119">
        <f t="shared" si="4"/>
        <v>0</v>
      </c>
      <c r="J57" s="5"/>
      <c r="K57" s="492" t="s">
        <v>72</v>
      </c>
      <c r="L57" s="28"/>
      <c r="M57" s="124">
        <f>$F$46</f>
        <v>0</v>
      </c>
      <c r="N57" s="74">
        <f>IFERROR($M57/Overview!$D$31,0)</f>
        <v>0</v>
      </c>
      <c r="O57" s="89">
        <f>IFERROR($M57/Overview!$D$30,0)</f>
        <v>0</v>
      </c>
      <c r="P57" s="116">
        <f>IFERROR($M57/$M$59,0)</f>
        <v>0</v>
      </c>
      <c r="Q57" s="5"/>
    </row>
    <row r="58" spans="2:20" x14ac:dyDescent="0.3">
      <c r="B58" s="492"/>
      <c r="C58" s="5"/>
      <c r="D58" s="5"/>
      <c r="E58" s="28"/>
      <c r="F58" s="74"/>
      <c r="G58" s="74"/>
      <c r="H58" s="89"/>
      <c r="I58" s="116"/>
      <c r="J58" s="5"/>
      <c r="K58" s="492" t="s">
        <v>73</v>
      </c>
      <c r="L58" s="28"/>
      <c r="M58" s="124">
        <f>$F$116</f>
        <v>0</v>
      </c>
      <c r="N58" s="74">
        <f>IFERROR($M58/Overview!$D$31,0)</f>
        <v>0</v>
      </c>
      <c r="O58" s="89">
        <f>IFERROR($M58/Overview!$D$30,0)</f>
        <v>0</v>
      </c>
      <c r="P58" s="116">
        <f>IFERROR($M58/$M$59,0)</f>
        <v>0</v>
      </c>
      <c r="Q58" s="5"/>
    </row>
    <row r="59" spans="2:20" x14ac:dyDescent="0.3">
      <c r="B59" s="54" t="s">
        <v>205</v>
      </c>
      <c r="C59" s="5"/>
      <c r="D59" s="5"/>
      <c r="E59" s="28"/>
      <c r="F59" s="74"/>
      <c r="G59" s="74"/>
      <c r="H59" s="89"/>
      <c r="I59" s="116"/>
      <c r="J59" s="5"/>
      <c r="K59" s="41" t="s">
        <v>74</v>
      </c>
      <c r="L59" s="42"/>
      <c r="M59" s="80">
        <f>SUM(M56:M58)</f>
        <v>0</v>
      </c>
      <c r="N59" s="80">
        <f>IFERROR($M59/Overview!$D$31,0)</f>
        <v>0</v>
      </c>
      <c r="O59" s="79">
        <f>IFERROR($M59/Overview!$D$30,0)</f>
        <v>0</v>
      </c>
      <c r="P59" s="119">
        <f>IFERROR($M59/$M$59,0)</f>
        <v>0</v>
      </c>
      <c r="Q59" s="5"/>
    </row>
    <row r="60" spans="2:20" x14ac:dyDescent="0.3">
      <c r="B60" s="36" t="s">
        <v>206</v>
      </c>
      <c r="C60" s="5"/>
      <c r="D60" s="5"/>
      <c r="E60" s="28"/>
      <c r="F60" s="197">
        <v>0</v>
      </c>
      <c r="G60" s="74">
        <f>IFERROR($F60/Overview!$D$31,0)</f>
        <v>0</v>
      </c>
      <c r="H60" s="89">
        <f>IFERROR($F60/Overview!$D$30,0)</f>
        <v>0</v>
      </c>
      <c r="I60" s="116">
        <f t="shared" ref="I60:I66" si="5">IFERROR($F60/$F$118,0)</f>
        <v>0</v>
      </c>
      <c r="J60" s="5"/>
      <c r="K60" s="25"/>
      <c r="L60" s="30"/>
      <c r="M60" s="113"/>
      <c r="N60" s="113"/>
      <c r="O60" s="108"/>
      <c r="P60" s="122"/>
      <c r="Q60" s="5"/>
    </row>
    <row r="61" spans="2:20" x14ac:dyDescent="0.3">
      <c r="B61" s="36" t="s">
        <v>207</v>
      </c>
      <c r="C61" s="5"/>
      <c r="D61" s="5"/>
      <c r="E61" s="28"/>
      <c r="F61" s="197">
        <v>0</v>
      </c>
      <c r="G61" s="74">
        <f>IFERROR($F61/Overview!$D$31,0)</f>
        <v>0</v>
      </c>
      <c r="H61" s="89">
        <f>IFERROR($F61/Overview!$D$30,0)</f>
        <v>0</v>
      </c>
      <c r="I61" s="116">
        <f t="shared" si="5"/>
        <v>0</v>
      </c>
      <c r="J61" s="5"/>
      <c r="K61" s="5"/>
      <c r="L61" s="5"/>
      <c r="M61" s="5"/>
      <c r="N61" s="5"/>
      <c r="O61" s="5"/>
      <c r="P61" s="5"/>
      <c r="Q61" s="5"/>
      <c r="R61" s="5"/>
      <c r="S61" s="5"/>
      <c r="T61" s="5"/>
    </row>
    <row r="62" spans="2:20" x14ac:dyDescent="0.3">
      <c r="B62" s="36" t="s">
        <v>208</v>
      </c>
      <c r="C62" s="5"/>
      <c r="D62" s="5"/>
      <c r="E62" s="28"/>
      <c r="F62" s="197">
        <v>0</v>
      </c>
      <c r="G62" s="74">
        <f>IFERROR($F62/Overview!$D$31,0)</f>
        <v>0</v>
      </c>
      <c r="H62" s="89">
        <f>IFERROR($F62/Overview!$D$30,0)</f>
        <v>0</v>
      </c>
      <c r="I62" s="116">
        <f t="shared" si="5"/>
        <v>0</v>
      </c>
      <c r="J62" s="5"/>
      <c r="K62" s="5"/>
      <c r="L62" s="5"/>
      <c r="M62" s="5"/>
      <c r="N62" s="5"/>
      <c r="O62" s="5"/>
      <c r="P62" s="5"/>
      <c r="Q62" s="5"/>
      <c r="R62" s="5"/>
      <c r="S62" s="5"/>
      <c r="T62" s="5"/>
    </row>
    <row r="63" spans="2:20" x14ac:dyDescent="0.3">
      <c r="B63" s="36" t="s">
        <v>209</v>
      </c>
      <c r="C63" s="5"/>
      <c r="D63" s="5"/>
      <c r="E63" s="28"/>
      <c r="F63" s="197">
        <v>0</v>
      </c>
      <c r="G63" s="74">
        <f>IFERROR($F63/Overview!$D$31,0)</f>
        <v>0</v>
      </c>
      <c r="H63" s="89">
        <f>IFERROR($F63/Overview!$D$30,0)</f>
        <v>0</v>
      </c>
      <c r="I63" s="116">
        <f t="shared" si="5"/>
        <v>0</v>
      </c>
      <c r="J63" s="5"/>
      <c r="K63" s="32" t="s">
        <v>210</v>
      </c>
      <c r="L63" s="33"/>
      <c r="M63" s="33"/>
      <c r="N63" s="33"/>
      <c r="O63" s="34"/>
      <c r="P63" s="5"/>
      <c r="Q63" s="5"/>
      <c r="R63" s="5"/>
      <c r="S63" s="5"/>
      <c r="T63" s="5"/>
    </row>
    <row r="64" spans="2:20" x14ac:dyDescent="0.3">
      <c r="B64" s="36" t="s">
        <v>211</v>
      </c>
      <c r="C64" s="5"/>
      <c r="D64" s="5"/>
      <c r="E64" s="28"/>
      <c r="F64" s="197">
        <v>0</v>
      </c>
      <c r="G64" s="74">
        <f>IFERROR($F64/Overview!$D$31,0)</f>
        <v>0</v>
      </c>
      <c r="H64" s="89">
        <f>IFERROR($F64/Overview!$D$30,0)</f>
        <v>0</v>
      </c>
      <c r="I64" s="116">
        <f t="shared" si="5"/>
        <v>0</v>
      </c>
      <c r="J64" s="5"/>
      <c r="K64" s="571" t="s">
        <v>24</v>
      </c>
      <c r="L64" s="572"/>
      <c r="M64" s="556" t="s">
        <v>212</v>
      </c>
      <c r="N64" s="556" t="s">
        <v>213</v>
      </c>
      <c r="O64" s="556" t="s">
        <v>77</v>
      </c>
      <c r="P64" s="5"/>
      <c r="Q64" s="5"/>
      <c r="R64" s="5"/>
      <c r="S64" s="5"/>
      <c r="T64" s="5"/>
    </row>
    <row r="65" spans="2:20" x14ac:dyDescent="0.3">
      <c r="B65" s="201" t="s">
        <v>214</v>
      </c>
      <c r="C65" s="202"/>
      <c r="D65" s="202"/>
      <c r="E65" s="185"/>
      <c r="F65" s="197">
        <v>0</v>
      </c>
      <c r="G65" s="74">
        <f>IFERROR($F65/Overview!$D$31,0)</f>
        <v>0</v>
      </c>
      <c r="H65" s="89">
        <f>IFERROR($F65/Overview!$D$30,0)</f>
        <v>0</v>
      </c>
      <c r="I65" s="116">
        <f t="shared" si="5"/>
        <v>0</v>
      </c>
      <c r="J65" s="5"/>
      <c r="K65" s="610"/>
      <c r="L65" s="611"/>
      <c r="M65" s="557"/>
      <c r="N65" s="557"/>
      <c r="O65" s="557"/>
      <c r="P65" s="5"/>
      <c r="Q65" s="5"/>
      <c r="R65" s="5"/>
      <c r="S65" s="5"/>
      <c r="T65" s="5"/>
    </row>
    <row r="66" spans="2:20" x14ac:dyDescent="0.3">
      <c r="B66" s="53" t="s">
        <v>215</v>
      </c>
      <c r="C66" s="44"/>
      <c r="D66" s="44"/>
      <c r="E66" s="42"/>
      <c r="F66" s="80">
        <f>SUM(F60:F65)</f>
        <v>0</v>
      </c>
      <c r="G66" s="80">
        <f>IFERROR($F66/Overview!$D$31,0)</f>
        <v>0</v>
      </c>
      <c r="H66" s="79">
        <f>IFERROR($F66/Overview!$D$30,0)</f>
        <v>0</v>
      </c>
      <c r="I66" s="119">
        <f t="shared" si="5"/>
        <v>0</v>
      </c>
      <c r="J66" s="5"/>
      <c r="K66" s="623"/>
      <c r="L66" s="624"/>
      <c r="M66" s="558"/>
      <c r="N66" s="558"/>
      <c r="O66" s="558"/>
      <c r="P66" s="5"/>
      <c r="Q66" s="5"/>
      <c r="R66" s="5"/>
      <c r="S66" s="5"/>
      <c r="T66" s="5"/>
    </row>
    <row r="67" spans="2:20" x14ac:dyDescent="0.3">
      <c r="B67" s="492"/>
      <c r="C67" s="5"/>
      <c r="D67" s="5"/>
      <c r="E67" s="28"/>
      <c r="F67" s="74"/>
      <c r="G67" s="74"/>
      <c r="H67" s="89"/>
      <c r="I67" s="116"/>
      <c r="J67" s="5"/>
      <c r="K67" s="45" t="s">
        <v>216</v>
      </c>
      <c r="L67" s="47"/>
      <c r="M67" s="48"/>
      <c r="N67" s="272"/>
      <c r="O67" s="49"/>
      <c r="P67" s="5"/>
      <c r="Q67" s="5"/>
      <c r="R67" s="5"/>
      <c r="S67" s="5"/>
      <c r="T67" s="5"/>
    </row>
    <row r="68" spans="2:20" x14ac:dyDescent="0.3">
      <c r="B68" s="54" t="s">
        <v>217</v>
      </c>
      <c r="C68" s="5"/>
      <c r="D68" s="5"/>
      <c r="E68" s="28"/>
      <c r="F68" s="74"/>
      <c r="G68" s="74"/>
      <c r="H68" s="89"/>
      <c r="I68" s="116"/>
      <c r="J68" s="5"/>
      <c r="K68" s="492" t="s">
        <v>218</v>
      </c>
      <c r="L68" s="28"/>
      <c r="M68" s="130" t="e">
        <f>IF(Overview!$D$12="Long Term Vacant Rehab","Vacant",INDEX(List!$M$5:$M$9,MATCH(Overview!$D$17,List!$L$5:$L$9,0)))</f>
        <v>#N/A</v>
      </c>
      <c r="N68" s="130" t="e">
        <f>IF(Overview!$D$12="Long Term Vacant Rehab","Vacant",INDEX(List!$M$5:$M$9,MATCH(Overview!$D$17,List!$L$5:$L$9,0)))</f>
        <v>#N/A</v>
      </c>
      <c r="O68" s="64" t="e">
        <f>IF(Overview!$D$12="Long Term Vacant Rehab","Vacant",INDEX(List!$M$5:$M$9,MATCH(Overview!$D$17,List!$L$5:$L$9,0)))</f>
        <v>#N/A</v>
      </c>
      <c r="P68" s="5"/>
      <c r="Q68" s="5"/>
      <c r="R68" s="5"/>
      <c r="S68" s="5"/>
      <c r="T68" s="5"/>
    </row>
    <row r="69" spans="2:20" x14ac:dyDescent="0.3">
      <c r="B69" s="36" t="s">
        <v>219</v>
      </c>
      <c r="C69" s="5"/>
      <c r="D69" s="5"/>
      <c r="E69" s="28"/>
      <c r="F69" s="197">
        <v>0</v>
      </c>
      <c r="G69" s="74">
        <f>IFERROR($F69/Overview!$D$31,0)</f>
        <v>0</v>
      </c>
      <c r="H69" s="89">
        <f>IFERROR($F69/Overview!$D$30,0)</f>
        <v>0</v>
      </c>
      <c r="I69" s="116">
        <f>IFERROR($F69/$F$118,0)</f>
        <v>0</v>
      </c>
      <c r="J69" s="5"/>
      <c r="K69" s="492" t="s">
        <v>220</v>
      </c>
      <c r="L69" s="28"/>
      <c r="M69" s="222" t="str">
        <f ca="1">IFERROR(SUMIFS(INDIRECT(_xlfn.CONCAT("'Data - Reference'!",ADDRESS(41,MATCH(M$68,'Data - Reference'!40:40,0),1),":",ADDRESS(51,MATCH(M$68,'Data - Reference'!40:40,0),1))),'Data - Reference'!$L$41:$L$51,ROUNDUP('Unit Summary - Rent Roll'!$K$327,1)),"NA")</f>
        <v>NA</v>
      </c>
      <c r="N69" s="222" t="str">
        <f ca="1">IFERROR(SUMIFS(INDIRECT(_xlfn.CONCAT("'Data - Reference'!",ADDRESS(41,MATCH(N$68,'Data - Reference'!40:40,0),1),":",ADDRESS(51,MATCH(N$68,'Data - Reference'!40:40,0),1))),'Data - Reference'!$L$41:$L$51,ROUNDUP('Unit Summary - Rent Roll'!$K$327,1)),"NA")</f>
        <v>NA</v>
      </c>
      <c r="O69" s="218" t="str">
        <f ca="1">IFERROR(SUMIFS(INDIRECT(_xlfn.CONCAT("'Data - Reference'!",ADDRESS(41,MATCH(O$68,'Data - Reference'!40:40,0),1),":",ADDRESS(51,MATCH(O$68,'Data - Reference'!40:40,0),1))),'Data - Reference'!$L$41:$L$51,ROUNDUP('Unit Summary - Rent Roll'!$K$327,1)),"NA")</f>
        <v>NA</v>
      </c>
      <c r="P69" s="5"/>
      <c r="Q69" s="5"/>
      <c r="R69" s="5"/>
      <c r="S69" s="5"/>
      <c r="T69" s="5"/>
    </row>
    <row r="70" spans="2:20" x14ac:dyDescent="0.3">
      <c r="B70" s="201" t="s">
        <v>221</v>
      </c>
      <c r="C70" s="202"/>
      <c r="D70" s="202"/>
      <c r="E70" s="185"/>
      <c r="F70" s="197">
        <v>0</v>
      </c>
      <c r="G70" s="74">
        <f>IFERROR($F70/Overview!$D$31,0)</f>
        <v>0</v>
      </c>
      <c r="H70" s="89">
        <f>IFERROR($F70/Overview!$D$30,0)</f>
        <v>0</v>
      </c>
      <c r="I70" s="116">
        <f>IFERROR($F70/$F$118,0)</f>
        <v>0</v>
      </c>
      <c r="J70" s="5"/>
      <c r="K70" s="492" t="s">
        <v>222</v>
      </c>
      <c r="L70" s="28"/>
      <c r="M70" s="222" t="s">
        <v>223</v>
      </c>
      <c r="N70" s="274" t="s">
        <v>224</v>
      </c>
      <c r="O70" s="218" t="s">
        <v>139</v>
      </c>
      <c r="P70" s="5"/>
      <c r="Q70" s="5"/>
      <c r="R70" s="5"/>
      <c r="S70" s="5"/>
      <c r="T70" s="5"/>
    </row>
    <row r="71" spans="2:20" x14ac:dyDescent="0.3">
      <c r="B71" s="53" t="s">
        <v>225</v>
      </c>
      <c r="C71" s="44"/>
      <c r="D71" s="44"/>
      <c r="E71" s="42"/>
      <c r="F71" s="80">
        <f>SUM(F69:F70)</f>
        <v>0</v>
      </c>
      <c r="G71" s="80">
        <f>IFERROR($F71/Overview!$D$31,0)</f>
        <v>0</v>
      </c>
      <c r="H71" s="79">
        <f>IFERROR($F71/Overview!$D$30,0)</f>
        <v>0</v>
      </c>
      <c r="I71" s="119">
        <f>IFERROR($F71/$F$118,0)</f>
        <v>0</v>
      </c>
      <c r="J71" s="5"/>
      <c r="K71" s="100"/>
      <c r="L71" s="28"/>
      <c r="M71" s="35"/>
      <c r="N71" s="271"/>
      <c r="O71" s="29"/>
      <c r="P71" s="5"/>
      <c r="Q71" s="5"/>
      <c r="R71" s="5"/>
      <c r="S71" s="5"/>
      <c r="T71" s="5"/>
    </row>
    <row r="72" spans="2:20" x14ac:dyDescent="0.3">
      <c r="B72" s="492"/>
      <c r="C72" s="5"/>
      <c r="D72" s="5"/>
      <c r="E72" s="28"/>
      <c r="F72" s="74"/>
      <c r="G72" s="74"/>
      <c r="H72" s="89"/>
      <c r="I72" s="116"/>
      <c r="J72" s="5"/>
      <c r="K72" s="45" t="s">
        <v>226</v>
      </c>
      <c r="L72" s="47"/>
      <c r="M72" s="48"/>
      <c r="N72" s="272"/>
      <c r="O72" s="49"/>
      <c r="P72" s="5"/>
      <c r="Q72" s="5"/>
      <c r="R72" s="5"/>
      <c r="S72" s="5"/>
      <c r="T72" s="5"/>
    </row>
    <row r="73" spans="2:20" x14ac:dyDescent="0.3">
      <c r="B73" s="54" t="s">
        <v>227</v>
      </c>
      <c r="C73" s="5"/>
      <c r="D73" s="5"/>
      <c r="E73" s="28"/>
      <c r="F73" s="74"/>
      <c r="G73" s="74"/>
      <c r="H73" s="89"/>
      <c r="I73" s="116"/>
      <c r="J73" s="5"/>
      <c r="K73" s="492" t="s">
        <v>228</v>
      </c>
      <c r="L73" s="28"/>
      <c r="M73" s="71">
        <f ca="1">'Unit Summary - Rent Roll'!$AE$327</f>
        <v>0</v>
      </c>
      <c r="N73" s="287">
        <f ca="1">'Unit Summary - Rent Roll'!$AB$327</f>
        <v>0</v>
      </c>
      <c r="O73" s="288">
        <f ca="1">'Unit Summary - Rent Roll'!$AB$327</f>
        <v>0</v>
      </c>
      <c r="P73" s="5"/>
      <c r="Q73" s="5"/>
      <c r="R73" s="5"/>
      <c r="S73" s="5"/>
      <c r="T73" s="5"/>
    </row>
    <row r="74" spans="2:20" x14ac:dyDescent="0.3">
      <c r="B74" s="36" t="s">
        <v>229</v>
      </c>
      <c r="C74" s="5"/>
      <c r="D74" s="5"/>
      <c r="E74" s="28"/>
      <c r="F74" s="197">
        <v>0</v>
      </c>
      <c r="G74" s="74">
        <f>IFERROR($F74/Overview!$D$31,0)</f>
        <v>0</v>
      </c>
      <c r="H74" s="89">
        <f>IFERROR($F74/Overview!$D$30,0)</f>
        <v>0</v>
      </c>
      <c r="I74" s="116">
        <f t="shared" ref="I74:I83" si="6">IFERROR($F74/$F$118,0)</f>
        <v>0</v>
      </c>
      <c r="J74" s="5"/>
      <c r="K74" s="492" t="s">
        <v>230</v>
      </c>
      <c r="L74" s="308">
        <v>0</v>
      </c>
      <c r="M74" s="309">
        <f ca="1">-L74*M73</f>
        <v>0</v>
      </c>
      <c r="N74" s="356" t="s">
        <v>139</v>
      </c>
      <c r="O74" s="357" t="s">
        <v>139</v>
      </c>
      <c r="P74" s="5"/>
      <c r="Q74" s="5"/>
      <c r="R74" s="5"/>
      <c r="S74" s="5"/>
      <c r="T74" s="5"/>
    </row>
    <row r="75" spans="2:20" x14ac:dyDescent="0.3">
      <c r="B75" s="36" t="s">
        <v>231</v>
      </c>
      <c r="C75" s="5"/>
      <c r="D75" s="5"/>
      <c r="E75" s="28"/>
      <c r="F75" s="197">
        <v>0</v>
      </c>
      <c r="G75" s="74">
        <f>IFERROR($F75/Overview!$D$31,0)</f>
        <v>0</v>
      </c>
      <c r="H75" s="89">
        <f>IFERROR($F75/Overview!$D$30,0)</f>
        <v>0</v>
      </c>
      <c r="I75" s="116">
        <f t="shared" si="6"/>
        <v>0</v>
      </c>
      <c r="J75" s="5"/>
      <c r="K75" s="492" t="s">
        <v>232</v>
      </c>
      <c r="L75" s="310">
        <v>0</v>
      </c>
      <c r="M75" s="309">
        <f>-$L$75*'Unit Summary - Rent Roll'!$H$327</f>
        <v>0</v>
      </c>
      <c r="N75" s="311">
        <f>-$L$75*'Unit Summary - Rent Roll'!$H$327</f>
        <v>0</v>
      </c>
      <c r="O75" s="357" t="s">
        <v>139</v>
      </c>
      <c r="P75" s="5"/>
      <c r="Q75" s="5"/>
      <c r="R75" s="5"/>
      <c r="S75" s="5"/>
      <c r="T75" s="5"/>
    </row>
    <row r="76" spans="2:20" x14ac:dyDescent="0.3">
      <c r="B76" s="36" t="s">
        <v>233</v>
      </c>
      <c r="C76" s="5"/>
      <c r="D76" s="5"/>
      <c r="E76" s="28"/>
      <c r="F76" s="197">
        <v>0</v>
      </c>
      <c r="G76" s="74">
        <f>IFERROR($F76/Overview!$D$31,0)</f>
        <v>0</v>
      </c>
      <c r="H76" s="89">
        <f>IFERROR($F76/Overview!$D$30,0)</f>
        <v>0</v>
      </c>
      <c r="I76" s="116">
        <f t="shared" si="6"/>
        <v>0</v>
      </c>
      <c r="J76" s="5"/>
      <c r="K76" s="41" t="s">
        <v>234</v>
      </c>
      <c r="L76" s="42"/>
      <c r="M76" s="80">
        <f ca="1">SUM(M73:M75)</f>
        <v>0</v>
      </c>
      <c r="N76" s="270">
        <f ca="1">SUM(N73:N75)</f>
        <v>0</v>
      </c>
      <c r="O76" s="86">
        <f ca="1">SUM(O73:O75)</f>
        <v>0</v>
      </c>
      <c r="P76" s="5"/>
      <c r="Q76" s="5"/>
      <c r="R76" s="5"/>
      <c r="S76" s="5"/>
      <c r="T76" s="5"/>
    </row>
    <row r="77" spans="2:20" x14ac:dyDescent="0.3">
      <c r="B77" s="36" t="s">
        <v>235</v>
      </c>
      <c r="C77" s="5"/>
      <c r="D77" s="5"/>
      <c r="E77" s="28"/>
      <c r="F77" s="197">
        <v>0</v>
      </c>
      <c r="G77" s="74">
        <f>IFERROR($F77/Overview!$D$31,0)</f>
        <v>0</v>
      </c>
      <c r="H77" s="89">
        <f>IFERROR($F77/Overview!$D$30,0)</f>
        <v>0</v>
      </c>
      <c r="I77" s="116">
        <f t="shared" si="6"/>
        <v>0</v>
      </c>
      <c r="J77" s="5"/>
      <c r="K77" s="100"/>
      <c r="L77" s="28"/>
      <c r="M77" s="35"/>
      <c r="N77" s="271"/>
      <c r="O77" s="29"/>
      <c r="P77" s="5"/>
      <c r="Q77" s="5"/>
      <c r="R77" s="5"/>
      <c r="S77" s="5"/>
      <c r="T77" s="5"/>
    </row>
    <row r="78" spans="2:20" x14ac:dyDescent="0.3">
      <c r="B78" s="36" t="s">
        <v>236</v>
      </c>
      <c r="C78" s="5"/>
      <c r="D78" s="5"/>
      <c r="E78" s="28"/>
      <c r="F78" s="197">
        <v>0</v>
      </c>
      <c r="G78" s="74">
        <f>IFERROR($F78/Overview!$D$31,0)</f>
        <v>0</v>
      </c>
      <c r="H78" s="89">
        <f>IFERROR($F78/Overview!$D$30,0)</f>
        <v>0</v>
      </c>
      <c r="I78" s="116">
        <f t="shared" si="6"/>
        <v>0</v>
      </c>
      <c r="J78" s="5"/>
      <c r="K78" s="45" t="s">
        <v>237</v>
      </c>
      <c r="L78" s="47"/>
      <c r="M78" s="48"/>
      <c r="N78" s="272"/>
      <c r="O78" s="49"/>
      <c r="P78" s="5"/>
      <c r="Q78" s="5"/>
      <c r="R78" s="5"/>
      <c r="S78" s="5"/>
      <c r="T78" s="5"/>
    </row>
    <row r="79" spans="2:20" x14ac:dyDescent="0.3">
      <c r="B79" s="36" t="s">
        <v>238</v>
      </c>
      <c r="C79" s="5"/>
      <c r="D79" s="5"/>
      <c r="E79" s="28"/>
      <c r="F79" s="197">
        <v>0</v>
      </c>
      <c r="G79" s="74">
        <f>IFERROR($F79/Overview!$D$31,0)</f>
        <v>0</v>
      </c>
      <c r="H79" s="89">
        <f>IFERROR($F79/Overview!$D$30,0)</f>
        <v>0</v>
      </c>
      <c r="I79" s="116">
        <f t="shared" si="6"/>
        <v>0</v>
      </c>
      <c r="J79" s="5"/>
      <c r="K79" s="492" t="s">
        <v>239</v>
      </c>
      <c r="L79" s="28"/>
      <c r="M79" s="355">
        <f ca="1">IFERROR(M$69*M$76,0)</f>
        <v>0</v>
      </c>
      <c r="N79" s="356">
        <f ca="1">IFERROR(N$69*N$76,0)</f>
        <v>0</v>
      </c>
      <c r="O79" s="357">
        <f ca="1">IFERROR(O$69*O$76,0)</f>
        <v>0</v>
      </c>
      <c r="P79" s="5"/>
      <c r="Q79" s="5"/>
      <c r="R79" s="5"/>
      <c r="S79" s="5"/>
      <c r="T79" s="5"/>
    </row>
    <row r="80" spans="2:20" x14ac:dyDescent="0.3">
      <c r="B80" s="36" t="s">
        <v>240</v>
      </c>
      <c r="C80" s="5"/>
      <c r="D80" s="5"/>
      <c r="E80" s="28"/>
      <c r="F80" s="197">
        <v>0</v>
      </c>
      <c r="G80" s="74">
        <f>IFERROR($F80/Overview!$D$31,0)</f>
        <v>0</v>
      </c>
      <c r="H80" s="89">
        <f>IFERROR($F80/Overview!$D$30,0)</f>
        <v>0</v>
      </c>
      <c r="I80" s="116">
        <f t="shared" si="6"/>
        <v>0</v>
      </c>
      <c r="J80" s="5"/>
      <c r="K80" s="278" t="s">
        <v>241</v>
      </c>
      <c r="L80" s="38"/>
      <c r="M80" s="358">
        <f ca="1">IFERROR(M$79/Overview!$D$31,0)</f>
        <v>0</v>
      </c>
      <c r="N80" s="359">
        <f ca="1">IFERROR(N$79/Overview!$D$31,0)</f>
        <v>0</v>
      </c>
      <c r="O80" s="360">
        <f ca="1">IFERROR(O$79/Overview!$D$31,0)</f>
        <v>0</v>
      </c>
      <c r="P80" s="5"/>
      <c r="Q80" s="5"/>
      <c r="R80" s="5"/>
      <c r="S80" s="5"/>
      <c r="T80" s="5"/>
    </row>
    <row r="81" spans="2:20" x14ac:dyDescent="0.3">
      <c r="B81" s="36" t="s">
        <v>242</v>
      </c>
      <c r="C81" s="5"/>
      <c r="D81" s="5"/>
      <c r="E81" s="28"/>
      <c r="F81" s="197">
        <v>0</v>
      </c>
      <c r="G81" s="74">
        <f>IFERROR($F81/Overview!$D$31,0)</f>
        <v>0</v>
      </c>
      <c r="H81" s="89">
        <f>IFERROR($F81/Overview!$D$30,0)</f>
        <v>0</v>
      </c>
      <c r="I81" s="116">
        <f t="shared" si="6"/>
        <v>0</v>
      </c>
      <c r="J81" s="5"/>
      <c r="K81" s="176"/>
      <c r="L81" s="177"/>
      <c r="M81" s="178"/>
      <c r="N81" s="277"/>
      <c r="O81" s="179"/>
      <c r="P81" s="5"/>
      <c r="Q81" s="5"/>
      <c r="R81" s="5"/>
      <c r="S81" s="5"/>
      <c r="T81" s="5"/>
    </row>
    <row r="82" spans="2:20" x14ac:dyDescent="0.3">
      <c r="B82" s="201" t="s">
        <v>243</v>
      </c>
      <c r="C82" s="202"/>
      <c r="D82" s="202"/>
      <c r="E82" s="185"/>
      <c r="F82" s="197">
        <v>0</v>
      </c>
      <c r="G82" s="74">
        <f>IFERROR($F82/Overview!$D$31,0)</f>
        <v>0</v>
      </c>
      <c r="H82" s="89">
        <f>IFERROR($F82/Overview!$D$30,0)</f>
        <v>0</v>
      </c>
      <c r="I82" s="116">
        <f t="shared" si="6"/>
        <v>0</v>
      </c>
      <c r="J82" s="5"/>
      <c r="K82" s="5"/>
      <c r="L82" s="5"/>
      <c r="M82" s="5"/>
      <c r="N82" s="5"/>
      <c r="O82" s="5"/>
      <c r="P82" s="5"/>
      <c r="Q82" s="5"/>
      <c r="R82" s="5"/>
      <c r="S82" s="5"/>
      <c r="T82" s="5"/>
    </row>
    <row r="83" spans="2:20" x14ac:dyDescent="0.3">
      <c r="B83" s="53" t="s">
        <v>244</v>
      </c>
      <c r="C83" s="44"/>
      <c r="D83" s="44"/>
      <c r="E83" s="42"/>
      <c r="F83" s="80">
        <f>SUM(F74:F82)</f>
        <v>0</v>
      </c>
      <c r="G83" s="80">
        <f>IFERROR($F83/Overview!$D$31,0)</f>
        <v>0</v>
      </c>
      <c r="H83" s="79">
        <f>IFERROR($F83/Overview!$D$30,0)</f>
        <v>0</v>
      </c>
      <c r="I83" s="119">
        <f t="shared" si="6"/>
        <v>0</v>
      </c>
      <c r="J83" s="5"/>
      <c r="K83" s="5"/>
      <c r="L83" s="5"/>
      <c r="M83" s="5"/>
      <c r="N83" s="5"/>
      <c r="O83" s="5"/>
      <c r="P83" s="5"/>
      <c r="Q83" s="5"/>
      <c r="R83" s="5"/>
      <c r="S83" s="5"/>
      <c r="T83" s="5"/>
    </row>
    <row r="84" spans="2:20" x14ac:dyDescent="0.3">
      <c r="B84" s="252"/>
      <c r="C84" s="55"/>
      <c r="D84" s="55"/>
      <c r="E84" s="56"/>
      <c r="F84" s="111"/>
      <c r="G84" s="111"/>
      <c r="H84" s="106"/>
      <c r="I84" s="120"/>
      <c r="J84" s="5"/>
      <c r="K84" s="5"/>
      <c r="L84" s="5"/>
      <c r="M84" s="5"/>
      <c r="N84" s="5"/>
      <c r="O84" s="5"/>
      <c r="P84" s="5"/>
      <c r="Q84" s="5"/>
      <c r="R84" s="5"/>
      <c r="S84" s="5"/>
      <c r="T84" s="5"/>
    </row>
    <row r="85" spans="2:20" x14ac:dyDescent="0.3">
      <c r="B85" s="54" t="s">
        <v>245</v>
      </c>
      <c r="C85" s="5"/>
      <c r="D85" s="5"/>
      <c r="E85" s="28"/>
      <c r="F85" s="74"/>
      <c r="G85" s="74"/>
      <c r="H85" s="89"/>
      <c r="I85" s="116"/>
      <c r="J85" s="5"/>
      <c r="K85" s="5"/>
      <c r="L85" s="5"/>
      <c r="M85" s="5"/>
      <c r="N85" s="5"/>
      <c r="O85" s="5"/>
      <c r="P85" s="5"/>
      <c r="Q85" s="5"/>
      <c r="R85" s="5"/>
      <c r="S85" s="5"/>
      <c r="T85" s="5"/>
    </row>
    <row r="86" spans="2:20" x14ac:dyDescent="0.3">
      <c r="B86" s="36" t="s">
        <v>246</v>
      </c>
      <c r="C86" s="5"/>
      <c r="D86" s="5"/>
      <c r="E86" s="28"/>
      <c r="F86" s="197">
        <v>0</v>
      </c>
      <c r="G86" s="74">
        <f>IFERROR($F86/Overview!$D$31,0)</f>
        <v>0</v>
      </c>
      <c r="H86" s="89">
        <f>IFERROR($F86/Overview!$D$30,0)</f>
        <v>0</v>
      </c>
      <c r="I86" s="116">
        <f t="shared" ref="I86:I93" si="7">IFERROR($F86/$F$118,0)</f>
        <v>0</v>
      </c>
      <c r="J86" s="5"/>
      <c r="K86" s="5"/>
      <c r="L86" s="5"/>
      <c r="M86" s="5"/>
      <c r="N86" s="5"/>
      <c r="O86" s="5"/>
      <c r="P86" s="5"/>
      <c r="Q86" s="5"/>
      <c r="R86" s="5"/>
      <c r="S86" s="5"/>
      <c r="T86" s="5"/>
    </row>
    <row r="87" spans="2:20" x14ac:dyDescent="0.3">
      <c r="B87" s="36" t="s">
        <v>247</v>
      </c>
      <c r="C87" s="5"/>
      <c r="D87" s="5"/>
      <c r="E87" s="28"/>
      <c r="F87" s="197">
        <v>0</v>
      </c>
      <c r="G87" s="74">
        <f>IFERROR($F87/Overview!$D$31,0)</f>
        <v>0</v>
      </c>
      <c r="H87" s="89">
        <f>IFERROR($F87/Overview!$D$30,0)</f>
        <v>0</v>
      </c>
      <c r="I87" s="116">
        <f t="shared" si="7"/>
        <v>0</v>
      </c>
      <c r="J87" s="5"/>
      <c r="K87" s="5"/>
      <c r="L87" s="5"/>
      <c r="M87" s="5"/>
      <c r="N87" s="5"/>
      <c r="O87" s="5"/>
      <c r="P87" s="5"/>
      <c r="Q87" s="5"/>
      <c r="R87" s="5"/>
      <c r="S87" s="5"/>
      <c r="T87" s="5"/>
    </row>
    <row r="88" spans="2:20" x14ac:dyDescent="0.3">
      <c r="B88" s="36" t="s">
        <v>248</v>
      </c>
      <c r="C88" s="5"/>
      <c r="D88" s="5"/>
      <c r="E88" s="28"/>
      <c r="F88" s="197">
        <v>0</v>
      </c>
      <c r="G88" s="74">
        <f>IFERROR($F88/Overview!$D$31,0)</f>
        <v>0</v>
      </c>
      <c r="H88" s="89">
        <f>IFERROR($F88/Overview!$D$30,0)</f>
        <v>0</v>
      </c>
      <c r="I88" s="116">
        <f t="shared" si="7"/>
        <v>0</v>
      </c>
      <c r="J88" s="5"/>
      <c r="K88" s="5"/>
      <c r="L88" s="5"/>
      <c r="M88" s="5"/>
      <c r="N88" s="5"/>
      <c r="O88" s="5"/>
      <c r="P88" s="5"/>
      <c r="Q88" s="5"/>
      <c r="R88" s="5"/>
      <c r="S88" s="5"/>
      <c r="T88" s="5"/>
    </row>
    <row r="89" spans="2:20" x14ac:dyDescent="0.3">
      <c r="B89" s="36" t="s">
        <v>249</v>
      </c>
      <c r="C89" s="5"/>
      <c r="D89" s="5"/>
      <c r="E89" s="28"/>
      <c r="F89" s="197">
        <v>0</v>
      </c>
      <c r="G89" s="74">
        <f>IFERROR($F89/Overview!$D$31,0)</f>
        <v>0</v>
      </c>
      <c r="H89" s="89">
        <f>IFERROR($F89/Overview!$D$30,0)</f>
        <v>0</v>
      </c>
      <c r="I89" s="116">
        <f t="shared" si="7"/>
        <v>0</v>
      </c>
      <c r="J89" s="5"/>
      <c r="K89" s="5"/>
      <c r="L89" s="5"/>
      <c r="M89" s="5"/>
      <c r="N89" s="5"/>
      <c r="O89" s="5"/>
      <c r="P89" s="5"/>
      <c r="Q89" s="5"/>
      <c r="R89" s="5"/>
      <c r="S89" s="5"/>
      <c r="T89" s="5"/>
    </row>
    <row r="90" spans="2:20" x14ac:dyDescent="0.3">
      <c r="B90" s="36" t="s">
        <v>250</v>
      </c>
      <c r="C90" s="5"/>
      <c r="D90" s="5"/>
      <c r="E90" s="28"/>
      <c r="F90" s="197">
        <v>0</v>
      </c>
      <c r="G90" s="74">
        <f>IFERROR($F90/Overview!$D$31,0)</f>
        <v>0</v>
      </c>
      <c r="H90" s="89">
        <f>IFERROR($F90/Overview!$D$30,0)</f>
        <v>0</v>
      </c>
      <c r="I90" s="116">
        <f t="shared" si="7"/>
        <v>0</v>
      </c>
      <c r="J90" s="5"/>
      <c r="K90" s="5"/>
      <c r="L90" s="5"/>
      <c r="M90" s="5"/>
      <c r="N90" s="5"/>
      <c r="O90" s="5"/>
      <c r="P90" s="5"/>
      <c r="Q90" s="5"/>
      <c r="R90" s="5"/>
      <c r="S90" s="5"/>
      <c r="T90" s="5"/>
    </row>
    <row r="91" spans="2:20" x14ac:dyDescent="0.3">
      <c r="B91" s="36" t="s">
        <v>251</v>
      </c>
      <c r="C91" s="5"/>
      <c r="D91" s="5"/>
      <c r="E91" s="28"/>
      <c r="F91" s="197">
        <v>0</v>
      </c>
      <c r="G91" s="74">
        <f>IFERROR($F91/Overview!$D$31,0)</f>
        <v>0</v>
      </c>
      <c r="H91" s="89">
        <f>IFERROR($F91/Overview!$D$30,0)</f>
        <v>0</v>
      </c>
      <c r="I91" s="116">
        <f t="shared" si="7"/>
        <v>0</v>
      </c>
      <c r="J91" s="5"/>
      <c r="K91" s="5"/>
      <c r="L91" s="5"/>
      <c r="M91" s="5"/>
      <c r="N91" s="5"/>
      <c r="O91" s="5"/>
      <c r="P91" s="5"/>
      <c r="Q91" s="5"/>
      <c r="R91" s="5"/>
      <c r="S91" s="5"/>
      <c r="T91" s="5"/>
    </row>
    <row r="92" spans="2:20" x14ac:dyDescent="0.3">
      <c r="B92" s="201" t="s">
        <v>243</v>
      </c>
      <c r="C92" s="202"/>
      <c r="D92" s="202"/>
      <c r="E92" s="185"/>
      <c r="F92" s="197">
        <v>0</v>
      </c>
      <c r="G92" s="74">
        <f>IFERROR($F92/Overview!$D$31,0)</f>
        <v>0</v>
      </c>
      <c r="H92" s="89">
        <f>IFERROR($F92/Overview!$D$30,0)</f>
        <v>0</v>
      </c>
      <c r="I92" s="116">
        <f t="shared" si="7"/>
        <v>0</v>
      </c>
      <c r="J92" s="5"/>
      <c r="K92" s="5"/>
      <c r="L92" s="5"/>
      <c r="M92" s="5"/>
      <c r="N92" s="5"/>
      <c r="O92" s="5"/>
      <c r="P92" s="5"/>
      <c r="Q92" s="5"/>
      <c r="R92" s="5"/>
      <c r="S92" s="5"/>
      <c r="T92" s="5"/>
    </row>
    <row r="93" spans="2:20" x14ac:dyDescent="0.3">
      <c r="B93" s="53" t="s">
        <v>252</v>
      </c>
      <c r="C93" s="44"/>
      <c r="D93" s="44"/>
      <c r="E93" s="42"/>
      <c r="F93" s="80">
        <f>SUM(F86:F92)</f>
        <v>0</v>
      </c>
      <c r="G93" s="80">
        <f>IFERROR($F93/Overview!$D$31,0)</f>
        <v>0</v>
      </c>
      <c r="H93" s="79">
        <f>IFERROR($F93/Overview!$D$30,0)</f>
        <v>0</v>
      </c>
      <c r="I93" s="119">
        <f t="shared" si="7"/>
        <v>0</v>
      </c>
    </row>
    <row r="94" spans="2:20" x14ac:dyDescent="0.3">
      <c r="B94" s="252"/>
      <c r="C94" s="55"/>
      <c r="D94" s="55"/>
      <c r="E94" s="56"/>
      <c r="F94" s="111"/>
      <c r="G94" s="111"/>
      <c r="H94" s="106"/>
      <c r="I94" s="120"/>
    </row>
    <row r="95" spans="2:20" x14ac:dyDescent="0.3">
      <c r="B95" s="54" t="s">
        <v>253</v>
      </c>
      <c r="C95" s="5"/>
      <c r="D95" s="5"/>
      <c r="E95" s="28"/>
      <c r="F95" s="74"/>
      <c r="G95" s="74"/>
      <c r="H95" s="89"/>
      <c r="I95" s="116"/>
    </row>
    <row r="96" spans="2:20" x14ac:dyDescent="0.3">
      <c r="B96" s="36" t="s">
        <v>254</v>
      </c>
      <c r="C96" s="5"/>
      <c r="D96" s="5"/>
      <c r="E96" s="28"/>
      <c r="F96" s="197">
        <v>0</v>
      </c>
      <c r="G96" s="74">
        <f>IFERROR($F96/Overview!$D$31,0)</f>
        <v>0</v>
      </c>
      <c r="H96" s="89">
        <f>IFERROR($F96/Overview!$D$30,0)</f>
        <v>0</v>
      </c>
      <c r="I96" s="116">
        <f t="shared" ref="I96:I105" si="8">IFERROR($F96/$F$118,0)</f>
        <v>0</v>
      </c>
    </row>
    <row r="97" spans="2:9" x14ac:dyDescent="0.3">
      <c r="B97" s="36" t="s">
        <v>255</v>
      </c>
      <c r="C97" s="5"/>
      <c r="D97" s="5"/>
      <c r="E97" s="28"/>
      <c r="F97" s="197">
        <v>0</v>
      </c>
      <c r="G97" s="74">
        <f>IFERROR($F97/Overview!$D$31,0)</f>
        <v>0</v>
      </c>
      <c r="H97" s="89">
        <f>IFERROR($F97/Overview!$D$30,0)</f>
        <v>0</v>
      </c>
      <c r="I97" s="116">
        <f t="shared" si="8"/>
        <v>0</v>
      </c>
    </row>
    <row r="98" spans="2:9" x14ac:dyDescent="0.3">
      <c r="B98" s="36" t="s">
        <v>256</v>
      </c>
      <c r="C98" s="5"/>
      <c r="D98" s="5"/>
      <c r="E98" s="28"/>
      <c r="F98" s="197">
        <v>0</v>
      </c>
      <c r="G98" s="74">
        <f>IFERROR($F98/Overview!$D$31,0)</f>
        <v>0</v>
      </c>
      <c r="H98" s="89">
        <f>IFERROR($F98/Overview!$D$30,0)</f>
        <v>0</v>
      </c>
      <c r="I98" s="116">
        <f t="shared" si="8"/>
        <v>0</v>
      </c>
    </row>
    <row r="99" spans="2:9" x14ac:dyDescent="0.3">
      <c r="B99" s="36" t="s">
        <v>257</v>
      </c>
      <c r="C99" s="5"/>
      <c r="D99" s="5"/>
      <c r="E99" s="28"/>
      <c r="F99" s="197">
        <v>0</v>
      </c>
      <c r="G99" s="74">
        <f>IFERROR($F99/Overview!$D$31,0)</f>
        <v>0</v>
      </c>
      <c r="H99" s="89">
        <f>IFERROR($F99/Overview!$D$30,0)</f>
        <v>0</v>
      </c>
      <c r="I99" s="116">
        <f t="shared" si="8"/>
        <v>0</v>
      </c>
    </row>
    <row r="100" spans="2:9" x14ac:dyDescent="0.3">
      <c r="B100" s="36" t="s">
        <v>258</v>
      </c>
      <c r="C100" s="5"/>
      <c r="D100" s="5"/>
      <c r="E100" s="28"/>
      <c r="F100" s="197">
        <v>0</v>
      </c>
      <c r="G100" s="74">
        <f>IFERROR($F100/Overview!$D$31,0)</f>
        <v>0</v>
      </c>
      <c r="H100" s="89">
        <f>IFERROR($F100/Overview!$D$30,0)</f>
        <v>0</v>
      </c>
      <c r="I100" s="116">
        <f t="shared" si="8"/>
        <v>0</v>
      </c>
    </row>
    <row r="101" spans="2:9" x14ac:dyDescent="0.3">
      <c r="B101" s="36" t="s">
        <v>259</v>
      </c>
      <c r="C101" s="5"/>
      <c r="D101" s="5"/>
      <c r="E101" s="28"/>
      <c r="F101" s="197">
        <v>0</v>
      </c>
      <c r="G101" s="74">
        <f>IFERROR($F101/Overview!$D$31,0)</f>
        <v>0</v>
      </c>
      <c r="H101" s="89">
        <f>IFERROR($F101/Overview!$D$30,0)</f>
        <v>0</v>
      </c>
      <c r="I101" s="116">
        <f t="shared" si="8"/>
        <v>0</v>
      </c>
    </row>
    <row r="102" spans="2:9" x14ac:dyDescent="0.3">
      <c r="B102" s="36" t="s">
        <v>260</v>
      </c>
      <c r="C102" s="5"/>
      <c r="D102" s="5"/>
      <c r="E102" s="28"/>
      <c r="F102" s="197">
        <v>0</v>
      </c>
      <c r="G102" s="74">
        <f>IFERROR($F102/Overview!$D$31,0)</f>
        <v>0</v>
      </c>
      <c r="H102" s="89">
        <f>IFERROR($F102/Overview!$D$30,0)</f>
        <v>0</v>
      </c>
      <c r="I102" s="116">
        <f t="shared" si="8"/>
        <v>0</v>
      </c>
    </row>
    <row r="103" spans="2:9" x14ac:dyDescent="0.3">
      <c r="B103" s="201" t="s">
        <v>261</v>
      </c>
      <c r="C103" s="202"/>
      <c r="D103" s="202"/>
      <c r="E103" s="185"/>
      <c r="F103" s="197">
        <v>0</v>
      </c>
      <c r="G103" s="74">
        <f>IFERROR($F103/Overview!$D$31,0)</f>
        <v>0</v>
      </c>
      <c r="H103" s="89">
        <f>IFERROR($F103/Overview!$D$30,0)</f>
        <v>0</v>
      </c>
      <c r="I103" s="116">
        <f t="shared" si="8"/>
        <v>0</v>
      </c>
    </row>
    <row r="104" spans="2:9" x14ac:dyDescent="0.3">
      <c r="B104" s="201" t="s">
        <v>261</v>
      </c>
      <c r="C104" s="202"/>
      <c r="D104" s="202"/>
      <c r="E104" s="185"/>
      <c r="F104" s="197">
        <v>0</v>
      </c>
      <c r="G104" s="74">
        <f>IFERROR($F104/Overview!$D$31,0)</f>
        <v>0</v>
      </c>
      <c r="H104" s="89">
        <f>IFERROR($F104/Overview!$D$30,0)</f>
        <v>0</v>
      </c>
      <c r="I104" s="116">
        <f t="shared" si="8"/>
        <v>0</v>
      </c>
    </row>
    <row r="105" spans="2:9" x14ac:dyDescent="0.3">
      <c r="B105" s="53" t="s">
        <v>262</v>
      </c>
      <c r="C105" s="44"/>
      <c r="D105" s="44"/>
      <c r="E105" s="42"/>
      <c r="F105" s="80">
        <f>SUM(F96:F104)</f>
        <v>0</v>
      </c>
      <c r="G105" s="80">
        <f>IFERROR($F105/Overview!$D$31,0)</f>
        <v>0</v>
      </c>
      <c r="H105" s="79">
        <f>IFERROR($F105/Overview!$D$30,0)</f>
        <v>0</v>
      </c>
      <c r="I105" s="119">
        <f t="shared" si="8"/>
        <v>0</v>
      </c>
    </row>
    <row r="106" spans="2:9" x14ac:dyDescent="0.3">
      <c r="B106" s="492"/>
      <c r="C106" s="5"/>
      <c r="D106" s="5"/>
      <c r="E106" s="28"/>
      <c r="F106" s="74"/>
      <c r="G106" s="74"/>
      <c r="H106" s="89"/>
      <c r="I106" s="116"/>
    </row>
    <row r="107" spans="2:9" x14ac:dyDescent="0.3">
      <c r="B107" s="54" t="s">
        <v>263</v>
      </c>
      <c r="C107" s="5"/>
      <c r="D107" s="5"/>
      <c r="E107" s="28"/>
      <c r="F107" s="74"/>
      <c r="G107" s="74"/>
      <c r="H107" s="89"/>
      <c r="I107" s="116"/>
    </row>
    <row r="108" spans="2:9" x14ac:dyDescent="0.3">
      <c r="B108" s="36" t="s">
        <v>264</v>
      </c>
      <c r="C108" s="5"/>
      <c r="D108" s="5"/>
      <c r="E108" s="28"/>
      <c r="F108" s="197">
        <v>0</v>
      </c>
      <c r="G108" s="74">
        <f>IFERROR($F108/Overview!$D$31,0)</f>
        <v>0</v>
      </c>
      <c r="H108" s="89">
        <f>IFERROR($F108/Overview!$D$30,0)</f>
        <v>0</v>
      </c>
      <c r="I108" s="116">
        <f>IFERROR($F108/$F$118,0)</f>
        <v>0</v>
      </c>
    </row>
    <row r="109" spans="2:9" x14ac:dyDescent="0.3">
      <c r="B109" s="201" t="s">
        <v>265</v>
      </c>
      <c r="C109" s="202"/>
      <c r="D109" s="202"/>
      <c r="E109" s="185"/>
      <c r="F109" s="197">
        <v>0</v>
      </c>
      <c r="G109" s="74">
        <f>IFERROR($F109/Overview!$D$31,0)</f>
        <v>0</v>
      </c>
      <c r="H109" s="89">
        <f>IFERROR($F109/Overview!$D$30,0)</f>
        <v>0</v>
      </c>
      <c r="I109" s="116">
        <f>IFERROR($F109/$F$118,0)</f>
        <v>0</v>
      </c>
    </row>
    <row r="110" spans="2:9" x14ac:dyDescent="0.3">
      <c r="B110" s="201" t="s">
        <v>266</v>
      </c>
      <c r="C110" s="202"/>
      <c r="D110" s="202"/>
      <c r="E110" s="185"/>
      <c r="F110" s="197">
        <v>0</v>
      </c>
      <c r="G110" s="74">
        <f>IFERROR($F110/Overview!$D$31,0)</f>
        <v>0</v>
      </c>
      <c r="H110" s="89">
        <f>IFERROR($F110/Overview!$D$30,0)</f>
        <v>0</v>
      </c>
      <c r="I110" s="116">
        <f>IFERROR($F110/$F$118,0)</f>
        <v>0</v>
      </c>
    </row>
    <row r="111" spans="2:9" x14ac:dyDescent="0.3">
      <c r="B111" s="201" t="s">
        <v>266</v>
      </c>
      <c r="C111" s="202"/>
      <c r="D111" s="202"/>
      <c r="E111" s="185"/>
      <c r="F111" s="197">
        <v>0</v>
      </c>
      <c r="G111" s="74">
        <f>IFERROR($F111/Overview!$D$31,0)</f>
        <v>0</v>
      </c>
      <c r="H111" s="89">
        <f>IFERROR($F111/Overview!$D$30,0)</f>
        <v>0</v>
      </c>
      <c r="I111" s="116">
        <f>IFERROR($F111/$F$118,0)</f>
        <v>0</v>
      </c>
    </row>
    <row r="112" spans="2:9" x14ac:dyDescent="0.3">
      <c r="B112" s="53" t="s">
        <v>267</v>
      </c>
      <c r="C112" s="44"/>
      <c r="D112" s="44"/>
      <c r="E112" s="42"/>
      <c r="F112" s="80">
        <f>SUM(F108:F111)</f>
        <v>0</v>
      </c>
      <c r="G112" s="80">
        <f>IFERROR($F112/Overview!$D$31,0)</f>
        <v>0</v>
      </c>
      <c r="H112" s="79">
        <f>IFERROR($F112/Overview!$D$30,0)</f>
        <v>0</v>
      </c>
      <c r="I112" s="119">
        <f>IFERROR($F112/$F$118,0)</f>
        <v>0</v>
      </c>
    </row>
    <row r="113" spans="2:9" x14ac:dyDescent="0.3">
      <c r="B113" s="252"/>
      <c r="C113" s="55"/>
      <c r="D113" s="55"/>
      <c r="E113" s="56"/>
      <c r="F113" s="111"/>
      <c r="G113" s="111"/>
      <c r="H113" s="106"/>
      <c r="I113" s="120"/>
    </row>
    <row r="114" spans="2:9" x14ac:dyDescent="0.3">
      <c r="B114" s="54" t="s">
        <v>268</v>
      </c>
      <c r="C114" s="55"/>
      <c r="D114" s="55"/>
      <c r="E114" s="56"/>
      <c r="F114" s="200">
        <v>0</v>
      </c>
      <c r="G114" s="111">
        <f>IFERROR($F114/Overview!$D$31,0)</f>
        <v>0</v>
      </c>
      <c r="H114" s="106">
        <f>IFERROR($F114/Overview!$D$30,0)</f>
        <v>0</v>
      </c>
      <c r="I114" s="120">
        <f>IFERROR($F114/$F$118,0)</f>
        <v>0</v>
      </c>
    </row>
    <row r="115" spans="2:9" x14ac:dyDescent="0.3">
      <c r="B115" s="492"/>
      <c r="C115" s="5"/>
      <c r="D115" s="5"/>
      <c r="E115" s="28"/>
      <c r="F115" s="74"/>
      <c r="G115" s="74"/>
      <c r="H115" s="89"/>
      <c r="I115" s="116"/>
    </row>
    <row r="116" spans="2:9" x14ac:dyDescent="0.3">
      <c r="B116" s="57" t="s">
        <v>269</v>
      </c>
      <c r="C116" s="51"/>
      <c r="D116" s="51"/>
      <c r="E116" s="52"/>
      <c r="F116" s="110">
        <f>SUM(F57,F66,F71,F83,F93,F105,F112,F114)</f>
        <v>0</v>
      </c>
      <c r="G116" s="110">
        <f>IFERROR($F116/Overview!$D$31,0)</f>
        <v>0</v>
      </c>
      <c r="H116" s="105">
        <f>IFERROR($F116/Overview!$D$30,0)</f>
        <v>0</v>
      </c>
      <c r="I116" s="117">
        <f>IFERROR($F116/$F$118,0)</f>
        <v>0</v>
      </c>
    </row>
    <row r="117" spans="2:9" x14ac:dyDescent="0.3">
      <c r="B117" s="492"/>
      <c r="C117" s="5"/>
      <c r="D117" s="5"/>
      <c r="E117" s="28"/>
      <c r="F117" s="74"/>
      <c r="G117" s="74"/>
      <c r="H117" s="89"/>
      <c r="I117" s="116"/>
    </row>
    <row r="118" spans="2:9" x14ac:dyDescent="0.3">
      <c r="B118" s="58" t="s">
        <v>270</v>
      </c>
      <c r="C118" s="33"/>
      <c r="D118" s="33"/>
      <c r="E118" s="59"/>
      <c r="F118" s="112">
        <f>SUM(F116,F46,F21)</f>
        <v>0</v>
      </c>
      <c r="G118" s="112">
        <f>IFERROR($F118/Overview!$D$31,0)</f>
        <v>0</v>
      </c>
      <c r="H118" s="107">
        <f>IFERROR($F118/Overview!$D$30,0)</f>
        <v>0</v>
      </c>
      <c r="I118" s="121">
        <f>IFERROR($F118/$F$118,0)</f>
        <v>0</v>
      </c>
    </row>
    <row r="119" spans="2:9" x14ac:dyDescent="0.3">
      <c r="B119" s="25"/>
      <c r="C119" s="26"/>
      <c r="D119" s="26"/>
      <c r="E119" s="30"/>
      <c r="F119" s="113"/>
      <c r="G119" s="113"/>
      <c r="H119" s="108"/>
      <c r="I119" s="122"/>
    </row>
    <row r="122" spans="2:9" x14ac:dyDescent="0.3">
      <c r="G122" s="5"/>
    </row>
    <row r="123" spans="2:9" x14ac:dyDescent="0.3">
      <c r="G123" s="3"/>
    </row>
    <row r="124" spans="2:9" x14ac:dyDescent="0.3">
      <c r="G124" s="3"/>
    </row>
    <row r="125" spans="2:9" ht="13.95" customHeight="1" x14ac:dyDescent="0.3">
      <c r="G125" s="3"/>
    </row>
    <row r="126" spans="2:9" ht="13.95" customHeight="1" x14ac:dyDescent="0.3">
      <c r="G126" s="5"/>
    </row>
    <row r="127" spans="2:9" ht="13.95" customHeight="1" x14ac:dyDescent="0.3">
      <c r="G127" s="5"/>
    </row>
    <row r="128" spans="2:9" x14ac:dyDescent="0.3">
      <c r="G128" s="5"/>
    </row>
    <row r="129" spans="7:7" x14ac:dyDescent="0.3">
      <c r="G129" s="5"/>
    </row>
    <row r="130" spans="7:7" x14ac:dyDescent="0.3">
      <c r="G130" s="5"/>
    </row>
    <row r="131" spans="7:7" x14ac:dyDescent="0.3">
      <c r="G131" s="5"/>
    </row>
    <row r="132" spans="7:7" x14ac:dyDescent="0.3">
      <c r="G132" s="5"/>
    </row>
    <row r="133" spans="7:7" x14ac:dyDescent="0.3">
      <c r="G133" s="5"/>
    </row>
    <row r="134" spans="7:7" x14ac:dyDescent="0.3">
      <c r="G134" s="5"/>
    </row>
    <row r="135" spans="7:7" x14ac:dyDescent="0.3">
      <c r="G135" s="5"/>
    </row>
    <row r="136" spans="7:7" x14ac:dyDescent="0.3">
      <c r="G136" s="5"/>
    </row>
    <row r="137" spans="7:7" x14ac:dyDescent="0.3">
      <c r="G137" s="5"/>
    </row>
    <row r="138" spans="7:7" x14ac:dyDescent="0.3">
      <c r="G138" s="5"/>
    </row>
    <row r="139" spans="7:7" x14ac:dyDescent="0.3">
      <c r="G139" s="5"/>
    </row>
    <row r="140" spans="7:7" x14ac:dyDescent="0.3">
      <c r="G140" s="5"/>
    </row>
  </sheetData>
  <sheetProtection sheet="1" objects="1" scenarios="1"/>
  <protectedRanges>
    <protectedRange sqref="F18:F20 B20 F25:F31 B31 E35:E41 F42:F43 B43 F50:F56 B56 F60:F65 B65 F69:F70 B70 F74:F82 B82 F86:F92 B92 F96:F104 B103:B104 F108:F111 B109:B111 F114 K18:K24 M18:M31 K33:K34 M33:M34 K38:K44 M38:M49 K51:K52 M51:M52 L74:L75" name="FTHP GAHP"/>
  </protectedRanges>
  <mergeCells count="7">
    <mergeCell ref="B4:P10"/>
    <mergeCell ref="B16:E16"/>
    <mergeCell ref="K16:L16"/>
    <mergeCell ref="M64:M66"/>
    <mergeCell ref="O64:O66"/>
    <mergeCell ref="N64:N66"/>
    <mergeCell ref="K64:L66"/>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3623-7F4B-41FE-8B0D-0A9712D2A006}">
  <dimension ref="B1:AW118"/>
  <sheetViews>
    <sheetView showGridLines="0" zoomScaleNormal="100" workbookViewId="0">
      <selection activeCell="B10" sqref="B10"/>
    </sheetView>
  </sheetViews>
  <sheetFormatPr defaultColWidth="15.6640625" defaultRowHeight="13.8" x14ac:dyDescent="0.3"/>
  <cols>
    <col min="1" max="1" width="2.6640625" style="1" customWidth="1"/>
    <col min="2" max="16384" width="15.6640625" style="1"/>
  </cols>
  <sheetData>
    <row r="1" spans="2:49" s="4" customFormat="1" ht="15.6" x14ac:dyDescent="0.3">
      <c r="B1" s="4" t="s">
        <v>0</v>
      </c>
    </row>
    <row r="2" spans="2:49" s="5" customFormat="1" ht="15" customHeight="1" x14ac:dyDescent="0.3">
      <c r="B2" s="5" t="s">
        <v>271</v>
      </c>
    </row>
    <row r="3" spans="2:49" s="5" customFormat="1" ht="15" customHeight="1" x14ac:dyDescent="0.3"/>
    <row r="4" spans="2:49" s="5" customFormat="1" ht="15" customHeight="1" x14ac:dyDescent="0.3">
      <c r="B4" s="562" t="s">
        <v>272</v>
      </c>
      <c r="C4" s="563"/>
      <c r="D4" s="563"/>
      <c r="E4" s="563"/>
      <c r="F4" s="563"/>
      <c r="G4" s="563"/>
      <c r="H4" s="563"/>
      <c r="I4" s="564"/>
      <c r="J4"/>
      <c r="K4"/>
      <c r="L4"/>
    </row>
    <row r="5" spans="2:49" s="5" customFormat="1" ht="15" customHeight="1" x14ac:dyDescent="0.3">
      <c r="B5" s="565"/>
      <c r="C5" s="566"/>
      <c r="D5" s="566"/>
      <c r="E5" s="566"/>
      <c r="F5" s="566"/>
      <c r="G5" s="566"/>
      <c r="H5" s="566"/>
      <c r="I5" s="567"/>
      <c r="J5"/>
      <c r="K5"/>
      <c r="L5"/>
    </row>
    <row r="6" spans="2:49" s="5" customFormat="1" ht="15" customHeight="1" x14ac:dyDescent="0.3">
      <c r="B6" s="565"/>
      <c r="C6" s="566"/>
      <c r="D6" s="566"/>
      <c r="E6" s="566"/>
      <c r="F6" s="566"/>
      <c r="G6" s="566"/>
      <c r="H6" s="566"/>
      <c r="I6" s="567"/>
      <c r="J6"/>
      <c r="K6"/>
      <c r="L6"/>
    </row>
    <row r="7" spans="2:49" s="5" customFormat="1" ht="15" customHeight="1" x14ac:dyDescent="0.3">
      <c r="B7" s="565"/>
      <c r="C7" s="566"/>
      <c r="D7" s="566"/>
      <c r="E7" s="566"/>
      <c r="F7" s="566"/>
      <c r="G7" s="566"/>
      <c r="H7" s="566"/>
      <c r="I7" s="567"/>
      <c r="J7"/>
      <c r="K7"/>
      <c r="L7"/>
    </row>
    <row r="8" spans="2:49" s="5" customFormat="1" ht="15" customHeight="1" x14ac:dyDescent="0.3">
      <c r="B8" s="565"/>
      <c r="C8" s="566"/>
      <c r="D8" s="566"/>
      <c r="E8" s="566"/>
      <c r="F8" s="566"/>
      <c r="G8" s="566"/>
      <c r="H8" s="566"/>
      <c r="I8" s="567"/>
      <c r="J8"/>
      <c r="K8"/>
      <c r="L8"/>
    </row>
    <row r="9" spans="2:49" s="5" customFormat="1" ht="15" customHeight="1" x14ac:dyDescent="0.3">
      <c r="B9" s="568"/>
      <c r="C9" s="569"/>
      <c r="D9" s="569"/>
      <c r="E9" s="569"/>
      <c r="F9" s="569"/>
      <c r="G9" s="569"/>
      <c r="H9" s="569"/>
      <c r="I9" s="570"/>
      <c r="J9"/>
      <c r="K9"/>
      <c r="L9"/>
    </row>
    <row r="10" spans="2:49" s="5" customFormat="1" ht="15" customHeight="1" x14ac:dyDescent="0.3">
      <c r="B10" s="60"/>
    </row>
    <row r="11" spans="2:49" s="5" customFormat="1" ht="15" customHeight="1" x14ac:dyDescent="0.3">
      <c r="B11" s="61" t="s">
        <v>3</v>
      </c>
      <c r="C11" s="189" t="s">
        <v>4</v>
      </c>
      <c r="D11" s="62" t="s">
        <v>5</v>
      </c>
      <c r="E11" s="63" t="s">
        <v>6</v>
      </c>
    </row>
    <row r="14" spans="2:49" x14ac:dyDescent="0.3">
      <c r="B14" s="32" t="s">
        <v>147</v>
      </c>
      <c r="C14" s="33"/>
      <c r="D14" s="33"/>
      <c r="E14" s="33"/>
      <c r="F14" s="33"/>
      <c r="G14" s="33"/>
      <c r="H14" s="33"/>
      <c r="I14" s="34"/>
      <c r="J14" s="5"/>
      <c r="K14" s="32" t="s">
        <v>22</v>
      </c>
      <c r="L14" s="33"/>
      <c r="M14" s="33"/>
      <c r="N14" s="33"/>
      <c r="O14" s="33"/>
      <c r="P14" s="33"/>
      <c r="Q14" s="33"/>
      <c r="R14" s="33"/>
      <c r="S14" s="34"/>
      <c r="T14" s="5"/>
      <c r="U14" s="32" t="s">
        <v>273</v>
      </c>
      <c r="V14" s="33"/>
      <c r="W14" s="33"/>
      <c r="X14" s="33"/>
      <c r="Y14" s="33"/>
      <c r="Z14" s="33"/>
      <c r="AA14" s="34"/>
      <c r="AB14" s="5"/>
      <c r="AC14" s="32" t="s">
        <v>274</v>
      </c>
      <c r="AD14" s="33"/>
      <c r="AE14" s="33"/>
      <c r="AF14" s="33"/>
      <c r="AG14" s="33"/>
      <c r="AH14" s="33"/>
      <c r="AI14" s="33"/>
      <c r="AJ14" s="33"/>
      <c r="AK14" s="33"/>
      <c r="AL14" s="33"/>
      <c r="AM14" s="33"/>
      <c r="AN14" s="33"/>
      <c r="AO14" s="33"/>
      <c r="AP14" s="33"/>
      <c r="AQ14" s="33"/>
      <c r="AR14" s="33"/>
      <c r="AS14" s="33"/>
      <c r="AT14" s="33"/>
      <c r="AU14" s="33"/>
      <c r="AV14" s="33"/>
      <c r="AW14" s="34"/>
    </row>
    <row r="15" spans="2:49" ht="27.6" x14ac:dyDescent="0.3">
      <c r="B15" s="621" t="s">
        <v>24</v>
      </c>
      <c r="C15" s="621"/>
      <c r="D15" s="621"/>
      <c r="E15" s="621"/>
      <c r="F15" s="546" t="s">
        <v>26</v>
      </c>
      <c r="G15" s="546" t="s">
        <v>27</v>
      </c>
      <c r="H15" s="546" t="s">
        <v>148</v>
      </c>
      <c r="I15" s="546" t="s">
        <v>28</v>
      </c>
      <c r="J15" s="5"/>
      <c r="K15" s="605" t="s">
        <v>24</v>
      </c>
      <c r="L15" s="622"/>
      <c r="M15" s="605" t="s">
        <v>275</v>
      </c>
      <c r="N15" s="622"/>
      <c r="O15" s="606"/>
      <c r="P15" s="542" t="s">
        <v>26</v>
      </c>
      <c r="Q15" s="546" t="s">
        <v>27</v>
      </c>
      <c r="R15" s="546" t="s">
        <v>148</v>
      </c>
      <c r="S15" s="546" t="s">
        <v>28</v>
      </c>
      <c r="T15" s="5"/>
      <c r="U15" s="605" t="s">
        <v>24</v>
      </c>
      <c r="V15" s="622"/>
      <c r="W15" s="606"/>
      <c r="X15" s="546" t="s">
        <v>26</v>
      </c>
      <c r="Y15" s="546" t="s">
        <v>27</v>
      </c>
      <c r="Z15" s="546" t="s">
        <v>148</v>
      </c>
      <c r="AA15" s="546" t="s">
        <v>28</v>
      </c>
      <c r="AB15" s="5"/>
      <c r="AC15" s="621" t="s">
        <v>24</v>
      </c>
      <c r="AD15" s="621"/>
      <c r="AE15" s="621"/>
      <c r="AF15" s="546" t="s">
        <v>276</v>
      </c>
      <c r="AG15" s="546" t="s">
        <v>277</v>
      </c>
      <c r="AH15" s="541" t="s">
        <v>278</v>
      </c>
      <c r="AI15" s="223">
        <v>1</v>
      </c>
      <c r="AJ15" s="223">
        <f t="shared" ref="AJ15:AW15" si="0">AI15+1</f>
        <v>2</v>
      </c>
      <c r="AK15" s="223">
        <f t="shared" si="0"/>
        <v>3</v>
      </c>
      <c r="AL15" s="223">
        <f t="shared" si="0"/>
        <v>4</v>
      </c>
      <c r="AM15" s="223">
        <f t="shared" si="0"/>
        <v>5</v>
      </c>
      <c r="AN15" s="223">
        <f t="shared" si="0"/>
        <v>6</v>
      </c>
      <c r="AO15" s="223">
        <f t="shared" si="0"/>
        <v>7</v>
      </c>
      <c r="AP15" s="223">
        <f t="shared" si="0"/>
        <v>8</v>
      </c>
      <c r="AQ15" s="223">
        <f t="shared" si="0"/>
        <v>9</v>
      </c>
      <c r="AR15" s="223">
        <f t="shared" si="0"/>
        <v>10</v>
      </c>
      <c r="AS15" s="223">
        <f t="shared" si="0"/>
        <v>11</v>
      </c>
      <c r="AT15" s="223">
        <f t="shared" si="0"/>
        <v>12</v>
      </c>
      <c r="AU15" s="223">
        <f t="shared" si="0"/>
        <v>13</v>
      </c>
      <c r="AV15" s="223">
        <f t="shared" si="0"/>
        <v>14</v>
      </c>
      <c r="AW15" s="223">
        <f t="shared" si="0"/>
        <v>15</v>
      </c>
    </row>
    <row r="16" spans="2:49" x14ac:dyDescent="0.3">
      <c r="B16" s="45" t="s">
        <v>70</v>
      </c>
      <c r="C16" s="46"/>
      <c r="D16" s="46"/>
      <c r="E16" s="47"/>
      <c r="F16" s="109"/>
      <c r="G16" s="109"/>
      <c r="H16" s="114"/>
      <c r="I16" s="115"/>
      <c r="J16" s="5"/>
      <c r="K16" s="131" t="s">
        <v>149</v>
      </c>
      <c r="L16" s="132"/>
      <c r="M16" s="133" t="s">
        <v>279</v>
      </c>
      <c r="N16" s="126" t="s">
        <v>280</v>
      </c>
      <c r="O16" s="134" t="s">
        <v>281</v>
      </c>
      <c r="P16" s="137"/>
      <c r="Q16" s="138"/>
      <c r="R16" s="114"/>
      <c r="S16" s="141"/>
      <c r="T16" s="5"/>
      <c r="U16" s="131" t="s">
        <v>282</v>
      </c>
      <c r="V16" s="132"/>
      <c r="W16" s="125"/>
      <c r="X16" s="138"/>
      <c r="Y16" s="138"/>
      <c r="Z16" s="114"/>
      <c r="AA16" s="154"/>
      <c r="AB16" s="5"/>
      <c r="AC16" s="131" t="str">
        <f t="shared" ref="AC16:AC54" si="1">IF(U16=0,"",U16)</f>
        <v>Revenue</v>
      </c>
      <c r="AD16" s="132"/>
      <c r="AE16" s="132"/>
      <c r="AF16" s="127"/>
      <c r="AG16" s="127"/>
      <c r="AH16" s="127"/>
      <c r="AI16" s="127"/>
      <c r="AJ16" s="127"/>
      <c r="AK16" s="127"/>
      <c r="AL16" s="127"/>
      <c r="AM16" s="127"/>
      <c r="AN16" s="127"/>
      <c r="AO16" s="127"/>
      <c r="AP16" s="127"/>
      <c r="AQ16" s="127"/>
      <c r="AR16" s="127"/>
      <c r="AS16" s="127"/>
      <c r="AT16" s="127"/>
      <c r="AU16" s="127"/>
      <c r="AV16" s="127"/>
      <c r="AW16" s="128"/>
    </row>
    <row r="17" spans="2:49" x14ac:dyDescent="0.3">
      <c r="B17" s="492" t="s">
        <v>150</v>
      </c>
      <c r="C17" s="5"/>
      <c r="D17" s="5"/>
      <c r="E17" s="28"/>
      <c r="F17" s="197">
        <v>0</v>
      </c>
      <c r="G17" s="74">
        <f>IFERROR($F17/Overview!$D$31,0)</f>
        <v>0</v>
      </c>
      <c r="H17" s="89">
        <f>IFERROR($F17/Overview!$D$30,0)</f>
        <v>0</v>
      </c>
      <c r="I17" s="116">
        <f>IFERROR($F17/$F$117,0)</f>
        <v>0</v>
      </c>
      <c r="J17" s="5"/>
      <c r="K17" s="184" t="s">
        <v>151</v>
      </c>
      <c r="L17" s="203"/>
      <c r="M17" s="205" t="s">
        <v>139</v>
      </c>
      <c r="N17" s="206" t="s">
        <v>139</v>
      </c>
      <c r="O17" s="207" t="s">
        <v>139</v>
      </c>
      <c r="P17" s="208">
        <v>0</v>
      </c>
      <c r="Q17" s="74">
        <f>IFERROR($P17/Overview!$D$31,0)</f>
        <v>0</v>
      </c>
      <c r="R17" s="89">
        <f>IFERROR($P17/Overview!$D$30,0)</f>
        <v>0</v>
      </c>
      <c r="S17" s="116">
        <f>IFERROR($P17/$P$58,0)</f>
        <v>0</v>
      </c>
      <c r="T17" s="5"/>
      <c r="U17" s="492" t="s">
        <v>283</v>
      </c>
      <c r="V17" s="5"/>
      <c r="W17" s="28"/>
      <c r="X17" s="74">
        <f ca="1">'Unit Summary - Rent Roll'!$AE$327</f>
        <v>0</v>
      </c>
      <c r="Y17" s="74">
        <f ca="1">IFERROR($X17/Overview!$D$31,0)</f>
        <v>0</v>
      </c>
      <c r="Z17" s="89">
        <f ca="1">IFERROR($X17/Overview!$D$30,0)</f>
        <v>0</v>
      </c>
      <c r="AA17" s="116">
        <f ca="1">IFERROR($X17/$X$20,0)</f>
        <v>0</v>
      </c>
      <c r="AB17" s="5"/>
      <c r="AC17" s="492" t="str">
        <f t="shared" si="1"/>
        <v>Assumed Annual Residential Revenue</v>
      </c>
      <c r="AD17" s="5"/>
      <c r="AE17" s="5"/>
      <c r="AF17" s="224">
        <v>0</v>
      </c>
      <c r="AG17" s="224">
        <v>0</v>
      </c>
      <c r="AH17" s="248"/>
      <c r="AI17" s="74">
        <f ca="1">X17</f>
        <v>0</v>
      </c>
      <c r="AJ17" s="74">
        <f ca="1">IF(AJ$15&lt;$AH17,AI17*(1+$AF17),AI17*(1+$AG17))</f>
        <v>0</v>
      </c>
      <c r="AK17" s="74">
        <f t="shared" ref="AK17:AW17" ca="1" si="2">IF(AK$15&lt;$AH17,AJ17*(1+$AF17),AJ17*(1+$AG17))</f>
        <v>0</v>
      </c>
      <c r="AL17" s="74">
        <f t="shared" ca="1" si="2"/>
        <v>0</v>
      </c>
      <c r="AM17" s="74">
        <f t="shared" ca="1" si="2"/>
        <v>0</v>
      </c>
      <c r="AN17" s="74">
        <f t="shared" ca="1" si="2"/>
        <v>0</v>
      </c>
      <c r="AO17" s="74">
        <f t="shared" ca="1" si="2"/>
        <v>0</v>
      </c>
      <c r="AP17" s="74">
        <f t="shared" ca="1" si="2"/>
        <v>0</v>
      </c>
      <c r="AQ17" s="74">
        <f t="shared" ca="1" si="2"/>
        <v>0</v>
      </c>
      <c r="AR17" s="74">
        <f t="shared" ca="1" si="2"/>
        <v>0</v>
      </c>
      <c r="AS17" s="74">
        <f t="shared" ca="1" si="2"/>
        <v>0</v>
      </c>
      <c r="AT17" s="74">
        <f t="shared" ca="1" si="2"/>
        <v>0</v>
      </c>
      <c r="AU17" s="74">
        <f t="shared" ca="1" si="2"/>
        <v>0</v>
      </c>
      <c r="AV17" s="74">
        <f t="shared" ca="1" si="2"/>
        <v>0</v>
      </c>
      <c r="AW17" s="85">
        <f t="shared" ca="1" si="2"/>
        <v>0</v>
      </c>
    </row>
    <row r="18" spans="2:49" x14ac:dyDescent="0.3">
      <c r="B18" s="492" t="s">
        <v>152</v>
      </c>
      <c r="C18" s="5"/>
      <c r="D18" s="5"/>
      <c r="E18" s="28"/>
      <c r="F18" s="197">
        <v>0</v>
      </c>
      <c r="G18" s="74">
        <f>IFERROR($F18/Overview!$D$31,0)</f>
        <v>0</v>
      </c>
      <c r="H18" s="89">
        <f>IFERROR($F18/Overview!$D$30,0)</f>
        <v>0</v>
      </c>
      <c r="I18" s="116">
        <f>IFERROR($F18/$F$117,0)</f>
        <v>0</v>
      </c>
      <c r="J18" s="5"/>
      <c r="K18" s="184" t="s">
        <v>153</v>
      </c>
      <c r="L18" s="204"/>
      <c r="M18" s="205" t="s">
        <v>139</v>
      </c>
      <c r="N18" s="206" t="s">
        <v>139</v>
      </c>
      <c r="O18" s="207" t="s">
        <v>139</v>
      </c>
      <c r="P18" s="208">
        <v>0</v>
      </c>
      <c r="Q18" s="74">
        <f>IFERROR($P18/Overview!$D$31,0)</f>
        <v>0</v>
      </c>
      <c r="R18" s="89">
        <f>IFERROR($P18/Overview!$D$30,0)</f>
        <v>0</v>
      </c>
      <c r="S18" s="116">
        <f t="shared" ref="S18:S34" si="3">IFERROR($P18/$P$58,0)</f>
        <v>0</v>
      </c>
      <c r="T18" s="5"/>
      <c r="U18" s="492" t="s">
        <v>284</v>
      </c>
      <c r="V18" s="5"/>
      <c r="W18" s="28"/>
      <c r="X18" s="197">
        <v>0</v>
      </c>
      <c r="Y18" s="74">
        <f>IFERROR($X18/Overview!$D$31,0)</f>
        <v>0</v>
      </c>
      <c r="Z18" s="89">
        <f>IFERROR($X18/Overview!$D$30,0)</f>
        <v>0</v>
      </c>
      <c r="AA18" s="116">
        <f ca="1">IFERROR($X18/$X$20,0)</f>
        <v>0</v>
      </c>
      <c r="AB18" s="5"/>
      <c r="AC18" s="492" t="str">
        <f t="shared" si="1"/>
        <v>Assumed Annual Commercial Revenue</v>
      </c>
      <c r="AD18" s="5"/>
      <c r="AE18" s="5"/>
      <c r="AF18" s="224">
        <v>0</v>
      </c>
      <c r="AG18" s="224">
        <v>0</v>
      </c>
      <c r="AH18" s="248"/>
      <c r="AI18" s="74">
        <f>X18</f>
        <v>0</v>
      </c>
      <c r="AJ18" s="74">
        <f t="shared" ref="AJ18:AW18" si="4">IF(AJ$15&lt;$AH18,AI18*(1+$AF18),AI18*(1+$AG18))</f>
        <v>0</v>
      </c>
      <c r="AK18" s="74">
        <f t="shared" si="4"/>
        <v>0</v>
      </c>
      <c r="AL18" s="74">
        <f t="shared" si="4"/>
        <v>0</v>
      </c>
      <c r="AM18" s="74">
        <f t="shared" si="4"/>
        <v>0</v>
      </c>
      <c r="AN18" s="74">
        <f t="shared" si="4"/>
        <v>0</v>
      </c>
      <c r="AO18" s="74">
        <f t="shared" si="4"/>
        <v>0</v>
      </c>
      <c r="AP18" s="74">
        <f t="shared" si="4"/>
        <v>0</v>
      </c>
      <c r="AQ18" s="74">
        <f t="shared" si="4"/>
        <v>0</v>
      </c>
      <c r="AR18" s="74">
        <f t="shared" si="4"/>
        <v>0</v>
      </c>
      <c r="AS18" s="74">
        <f t="shared" si="4"/>
        <v>0</v>
      </c>
      <c r="AT18" s="74">
        <f t="shared" si="4"/>
        <v>0</v>
      </c>
      <c r="AU18" s="74">
        <f t="shared" si="4"/>
        <v>0</v>
      </c>
      <c r="AV18" s="74">
        <f t="shared" si="4"/>
        <v>0</v>
      </c>
      <c r="AW18" s="85">
        <f t="shared" si="4"/>
        <v>0</v>
      </c>
    </row>
    <row r="19" spans="2:49" x14ac:dyDescent="0.3">
      <c r="B19" s="184" t="s">
        <v>154</v>
      </c>
      <c r="C19" s="202"/>
      <c r="D19" s="202"/>
      <c r="E19" s="185"/>
      <c r="F19" s="197">
        <v>0</v>
      </c>
      <c r="G19" s="74">
        <f>IFERROR($F19/Overview!$D$31,0)</f>
        <v>0</v>
      </c>
      <c r="H19" s="89">
        <f>IFERROR($F19/Overview!$D$30,0)</f>
        <v>0</v>
      </c>
      <c r="I19" s="116">
        <f>IFERROR($F19/$F$117,0)</f>
        <v>0</v>
      </c>
      <c r="J19" s="5"/>
      <c r="K19" s="184" t="s">
        <v>155</v>
      </c>
      <c r="L19" s="204"/>
      <c r="M19" s="205" t="s">
        <v>139</v>
      </c>
      <c r="N19" s="206" t="s">
        <v>139</v>
      </c>
      <c r="O19" s="207" t="s">
        <v>139</v>
      </c>
      <c r="P19" s="208">
        <v>0</v>
      </c>
      <c r="Q19" s="74">
        <f>IFERROR($P19/Overview!$D$31,0)</f>
        <v>0</v>
      </c>
      <c r="R19" s="89">
        <f>IFERROR($P19/Overview!$D$30,0)</f>
        <v>0</v>
      </c>
      <c r="S19" s="116">
        <f t="shared" si="3"/>
        <v>0</v>
      </c>
      <c r="T19" s="5"/>
      <c r="U19" s="492" t="s">
        <v>285</v>
      </c>
      <c r="V19" s="5"/>
      <c r="W19" s="28"/>
      <c r="X19" s="197">
        <v>0</v>
      </c>
      <c r="Y19" s="74">
        <f>IFERROR($X19/Overview!$D$31,0)</f>
        <v>0</v>
      </c>
      <c r="Z19" s="89">
        <f>IFERROR($X19/Overview!$D$30,0)</f>
        <v>0</v>
      </c>
      <c r="AA19" s="116">
        <f ca="1">IFERROR($X19/$X$20,0)</f>
        <v>0</v>
      </c>
      <c r="AB19" s="5"/>
      <c r="AC19" s="492" t="str">
        <f t="shared" si="1"/>
        <v>Other Revenue</v>
      </c>
      <c r="AD19" s="5"/>
      <c r="AE19" s="5"/>
      <c r="AF19" s="224">
        <v>0</v>
      </c>
      <c r="AG19" s="224">
        <v>0</v>
      </c>
      <c r="AH19" s="248"/>
      <c r="AI19" s="74">
        <f>X19</f>
        <v>0</v>
      </c>
      <c r="AJ19" s="74">
        <f t="shared" ref="AJ19:AW19" si="5">IF(AJ$15&lt;$AH19,AI19*(1+$AF19),AI19*(1+$AG19))</f>
        <v>0</v>
      </c>
      <c r="AK19" s="74">
        <f t="shared" si="5"/>
        <v>0</v>
      </c>
      <c r="AL19" s="74">
        <f t="shared" si="5"/>
        <v>0</v>
      </c>
      <c r="AM19" s="74">
        <f t="shared" si="5"/>
        <v>0</v>
      </c>
      <c r="AN19" s="74">
        <f t="shared" si="5"/>
        <v>0</v>
      </c>
      <c r="AO19" s="74">
        <f t="shared" si="5"/>
        <v>0</v>
      </c>
      <c r="AP19" s="74">
        <f t="shared" si="5"/>
        <v>0</v>
      </c>
      <c r="AQ19" s="74">
        <f t="shared" si="5"/>
        <v>0</v>
      </c>
      <c r="AR19" s="74">
        <f t="shared" si="5"/>
        <v>0</v>
      </c>
      <c r="AS19" s="74">
        <f t="shared" si="5"/>
        <v>0</v>
      </c>
      <c r="AT19" s="74">
        <f t="shared" si="5"/>
        <v>0</v>
      </c>
      <c r="AU19" s="74">
        <f t="shared" si="5"/>
        <v>0</v>
      </c>
      <c r="AV19" s="74">
        <f t="shared" si="5"/>
        <v>0</v>
      </c>
      <c r="AW19" s="85">
        <f t="shared" si="5"/>
        <v>0</v>
      </c>
    </row>
    <row r="20" spans="2:49" x14ac:dyDescent="0.3">
      <c r="B20" s="50" t="s">
        <v>156</v>
      </c>
      <c r="C20" s="51"/>
      <c r="D20" s="51"/>
      <c r="E20" s="52"/>
      <c r="F20" s="110">
        <f>SUM(F17:F19)</f>
        <v>0</v>
      </c>
      <c r="G20" s="110">
        <f>IFERROR($F20/Overview!$D$31,0)</f>
        <v>0</v>
      </c>
      <c r="H20" s="105">
        <f>IFERROR($F20/Overview!$D$30,0)</f>
        <v>0</v>
      </c>
      <c r="I20" s="117">
        <f>IFERROR($F20/$F$117,0)</f>
        <v>0</v>
      </c>
      <c r="J20" s="5"/>
      <c r="K20" s="184" t="s">
        <v>157</v>
      </c>
      <c r="L20" s="204"/>
      <c r="M20" s="205" t="s">
        <v>139</v>
      </c>
      <c r="N20" s="206" t="s">
        <v>139</v>
      </c>
      <c r="O20" s="207" t="s">
        <v>139</v>
      </c>
      <c r="P20" s="208">
        <v>0</v>
      </c>
      <c r="Q20" s="74">
        <f>IFERROR($P20/Overview!$D$31,0)</f>
        <v>0</v>
      </c>
      <c r="R20" s="89">
        <f>IFERROR($P20/Overview!$D$30,0)</f>
        <v>0</v>
      </c>
      <c r="S20" s="116">
        <f t="shared" si="3"/>
        <v>0</v>
      </c>
      <c r="T20" s="5"/>
      <c r="U20" s="41" t="s">
        <v>286</v>
      </c>
      <c r="V20" s="44"/>
      <c r="W20" s="42"/>
      <c r="X20" s="80">
        <f ca="1">SUM(X17:X19)</f>
        <v>0</v>
      </c>
      <c r="Y20" s="80">
        <f ca="1">IFERROR($X20/Overview!$D$31,0)</f>
        <v>0</v>
      </c>
      <c r="Z20" s="79">
        <f ca="1">IFERROR($X20/Overview!$D$30,0)</f>
        <v>0</v>
      </c>
      <c r="AA20" s="119">
        <f ca="1">IFERROR($X20/$X$20,0)</f>
        <v>0</v>
      </c>
      <c r="AB20" s="5"/>
      <c r="AC20" s="41" t="str">
        <f t="shared" si="1"/>
        <v>Gross Revenue</v>
      </c>
      <c r="AD20" s="44"/>
      <c r="AE20" s="44"/>
      <c r="AF20" s="228"/>
      <c r="AG20" s="228"/>
      <c r="AH20" s="228"/>
      <c r="AI20" s="80">
        <f t="shared" ref="AI20:AW20" ca="1" si="6">SUM(AI17:AI19)</f>
        <v>0</v>
      </c>
      <c r="AJ20" s="80">
        <f t="shared" ca="1" si="6"/>
        <v>0</v>
      </c>
      <c r="AK20" s="80">
        <f t="shared" ca="1" si="6"/>
        <v>0</v>
      </c>
      <c r="AL20" s="80">
        <f t="shared" ca="1" si="6"/>
        <v>0</v>
      </c>
      <c r="AM20" s="80">
        <f t="shared" ca="1" si="6"/>
        <v>0</v>
      </c>
      <c r="AN20" s="80">
        <f t="shared" ca="1" si="6"/>
        <v>0</v>
      </c>
      <c r="AO20" s="80">
        <f t="shared" ca="1" si="6"/>
        <v>0</v>
      </c>
      <c r="AP20" s="80">
        <f t="shared" ca="1" si="6"/>
        <v>0</v>
      </c>
      <c r="AQ20" s="80">
        <f t="shared" ca="1" si="6"/>
        <v>0</v>
      </c>
      <c r="AR20" s="80">
        <f t="shared" ca="1" si="6"/>
        <v>0</v>
      </c>
      <c r="AS20" s="80">
        <f t="shared" ca="1" si="6"/>
        <v>0</v>
      </c>
      <c r="AT20" s="80">
        <f t="shared" ca="1" si="6"/>
        <v>0</v>
      </c>
      <c r="AU20" s="80">
        <f t="shared" ca="1" si="6"/>
        <v>0</v>
      </c>
      <c r="AV20" s="80">
        <f t="shared" ca="1" si="6"/>
        <v>0</v>
      </c>
      <c r="AW20" s="86">
        <f t="shared" ca="1" si="6"/>
        <v>0</v>
      </c>
    </row>
    <row r="21" spans="2:49" x14ac:dyDescent="0.3">
      <c r="B21" s="492"/>
      <c r="C21" s="5"/>
      <c r="D21" s="5"/>
      <c r="E21" s="28"/>
      <c r="F21" s="74"/>
      <c r="G21" s="74"/>
      <c r="H21" s="89"/>
      <c r="I21" s="116"/>
      <c r="J21" s="5"/>
      <c r="K21" s="184" t="s">
        <v>158</v>
      </c>
      <c r="L21" s="204"/>
      <c r="M21" s="142"/>
      <c r="N21" s="143"/>
      <c r="O21" s="144"/>
      <c r="P21" s="208">
        <v>0</v>
      </c>
      <c r="Q21" s="74">
        <f>IFERROR($P21/Overview!$D$31,0)</f>
        <v>0</v>
      </c>
      <c r="R21" s="89">
        <f>IFERROR($P21/Overview!$D$30,0)</f>
        <v>0</v>
      </c>
      <c r="S21" s="116">
        <f t="shared" si="3"/>
        <v>0</v>
      </c>
      <c r="T21" s="5"/>
      <c r="U21" s="100"/>
      <c r="V21" s="5"/>
      <c r="W21" s="28"/>
      <c r="X21" s="74"/>
      <c r="Y21" s="74"/>
      <c r="Z21" s="89"/>
      <c r="AA21" s="116"/>
      <c r="AB21" s="5"/>
      <c r="AC21" s="100" t="str">
        <f t="shared" si="1"/>
        <v/>
      </c>
      <c r="AD21" s="5"/>
      <c r="AE21" s="5"/>
      <c r="AF21" s="35"/>
      <c r="AG21" s="35"/>
      <c r="AH21" s="35"/>
      <c r="AI21" s="35"/>
      <c r="AJ21" s="35"/>
      <c r="AK21" s="35"/>
      <c r="AL21" s="35"/>
      <c r="AM21" s="35"/>
      <c r="AN21" s="35"/>
      <c r="AO21" s="35"/>
      <c r="AP21" s="35"/>
      <c r="AQ21" s="35"/>
      <c r="AR21" s="35"/>
      <c r="AS21" s="35"/>
      <c r="AT21" s="35"/>
      <c r="AU21" s="35"/>
      <c r="AV21" s="35"/>
      <c r="AW21" s="29"/>
    </row>
    <row r="22" spans="2:49" x14ac:dyDescent="0.3">
      <c r="B22" s="45" t="s">
        <v>72</v>
      </c>
      <c r="C22" s="46"/>
      <c r="D22" s="46"/>
      <c r="E22" s="47"/>
      <c r="F22" s="109"/>
      <c r="G22" s="109"/>
      <c r="H22" s="104"/>
      <c r="I22" s="118"/>
      <c r="J22" s="5"/>
      <c r="K22" s="184" t="s">
        <v>159</v>
      </c>
      <c r="L22" s="204"/>
      <c r="M22" s="142"/>
      <c r="N22" s="143"/>
      <c r="O22" s="144"/>
      <c r="P22" s="208">
        <v>0</v>
      </c>
      <c r="Q22" s="74">
        <f>IFERROR($P22/Overview!$D$31,0)</f>
        <v>0</v>
      </c>
      <c r="R22" s="89">
        <f>IFERROR($P22/Overview!$D$30,0)</f>
        <v>0</v>
      </c>
      <c r="S22" s="116">
        <f t="shared" si="3"/>
        <v>0</v>
      </c>
      <c r="T22" s="5"/>
      <c r="U22" s="45" t="s">
        <v>287</v>
      </c>
      <c r="V22" s="46"/>
      <c r="W22" s="47"/>
      <c r="X22" s="109"/>
      <c r="Y22" s="109"/>
      <c r="Z22" s="104"/>
      <c r="AA22" s="118"/>
      <c r="AB22" s="5"/>
      <c r="AC22" s="45" t="str">
        <f t="shared" si="1"/>
        <v>Operating Expenses</v>
      </c>
      <c r="AD22" s="46"/>
      <c r="AE22" s="46"/>
      <c r="AF22" s="48"/>
      <c r="AG22" s="48"/>
      <c r="AH22" s="48"/>
      <c r="AI22" s="48"/>
      <c r="AJ22" s="48"/>
      <c r="AK22" s="48"/>
      <c r="AL22" s="48"/>
      <c r="AM22" s="48"/>
      <c r="AN22" s="48"/>
      <c r="AO22" s="48"/>
      <c r="AP22" s="48"/>
      <c r="AQ22" s="48"/>
      <c r="AR22" s="48"/>
      <c r="AS22" s="48"/>
      <c r="AT22" s="48"/>
      <c r="AU22" s="48"/>
      <c r="AV22" s="48"/>
      <c r="AW22" s="49"/>
    </row>
    <row r="23" spans="2:49" x14ac:dyDescent="0.3">
      <c r="B23" s="54" t="s">
        <v>160</v>
      </c>
      <c r="C23" s="5"/>
      <c r="D23" s="5"/>
      <c r="E23" s="28"/>
      <c r="F23" s="123"/>
      <c r="G23" s="74"/>
      <c r="H23" s="89"/>
      <c r="I23" s="116"/>
      <c r="J23" s="5"/>
      <c r="K23" s="184" t="s">
        <v>161</v>
      </c>
      <c r="L23" s="204"/>
      <c r="M23" s="142"/>
      <c r="N23" s="143"/>
      <c r="O23" s="144"/>
      <c r="P23" s="208">
        <v>0</v>
      </c>
      <c r="Q23" s="74">
        <f>IFERROR($P23/Overview!$D$31,0)</f>
        <v>0</v>
      </c>
      <c r="R23" s="89">
        <f>IFERROR($P23/Overview!$D$30,0)</f>
        <v>0</v>
      </c>
      <c r="S23" s="116">
        <f t="shared" si="3"/>
        <v>0</v>
      </c>
      <c r="T23" s="5"/>
      <c r="U23" s="492" t="s">
        <v>288</v>
      </c>
      <c r="V23" s="5"/>
      <c r="W23" s="211">
        <v>0</v>
      </c>
      <c r="X23" s="74">
        <f ca="1">$W23*$X$20</f>
        <v>0</v>
      </c>
      <c r="Y23" s="74">
        <f ca="1">IFERROR($X23/Overview!$D$31,0)</f>
        <v>0</v>
      </c>
      <c r="Z23" s="89">
        <f ca="1">IFERROR($X23/Overview!$D$30,0)</f>
        <v>0</v>
      </c>
      <c r="AA23" s="116">
        <f t="shared" ref="AA23:AA40" ca="1" si="7">IFERROR($X23/$X$20,0)</f>
        <v>0</v>
      </c>
      <c r="AB23" s="5"/>
      <c r="AC23" s="492" t="str">
        <f t="shared" si="1"/>
        <v>Vacancy &amp; Credit Loss</v>
      </c>
      <c r="AD23" s="5"/>
      <c r="AE23" s="5"/>
      <c r="AF23" s="225"/>
      <c r="AG23" s="225"/>
      <c r="AH23" s="225"/>
      <c r="AI23" s="74">
        <f t="shared" ref="AI23:AW23" ca="1" si="8">$W$23*AI20</f>
        <v>0</v>
      </c>
      <c r="AJ23" s="74">
        <f t="shared" ca="1" si="8"/>
        <v>0</v>
      </c>
      <c r="AK23" s="74">
        <f t="shared" ca="1" si="8"/>
        <v>0</v>
      </c>
      <c r="AL23" s="74">
        <f t="shared" ca="1" si="8"/>
        <v>0</v>
      </c>
      <c r="AM23" s="74">
        <f t="shared" ca="1" si="8"/>
        <v>0</v>
      </c>
      <c r="AN23" s="74">
        <f t="shared" ca="1" si="8"/>
        <v>0</v>
      </c>
      <c r="AO23" s="74">
        <f t="shared" ca="1" si="8"/>
        <v>0</v>
      </c>
      <c r="AP23" s="74">
        <f t="shared" ca="1" si="8"/>
        <v>0</v>
      </c>
      <c r="AQ23" s="74">
        <f t="shared" ca="1" si="8"/>
        <v>0</v>
      </c>
      <c r="AR23" s="74">
        <f t="shared" ca="1" si="8"/>
        <v>0</v>
      </c>
      <c r="AS23" s="74">
        <f t="shared" ca="1" si="8"/>
        <v>0</v>
      </c>
      <c r="AT23" s="74">
        <f t="shared" ca="1" si="8"/>
        <v>0</v>
      </c>
      <c r="AU23" s="74">
        <f t="shared" ca="1" si="8"/>
        <v>0</v>
      </c>
      <c r="AV23" s="74">
        <f t="shared" ca="1" si="8"/>
        <v>0</v>
      </c>
      <c r="AW23" s="85">
        <f t="shared" ca="1" si="8"/>
        <v>0</v>
      </c>
    </row>
    <row r="24" spans="2:49" x14ac:dyDescent="0.3">
      <c r="B24" s="36" t="s">
        <v>162</v>
      </c>
      <c r="C24" s="5"/>
      <c r="D24" s="5"/>
      <c r="E24" s="28"/>
      <c r="F24" s="197">
        <v>0</v>
      </c>
      <c r="G24" s="74">
        <f>IFERROR($F24/Overview!$D$31,0)</f>
        <v>0</v>
      </c>
      <c r="H24" s="89">
        <f>IFERROR($F24/Overview!$D$30,0)</f>
        <v>0</v>
      </c>
      <c r="I24" s="116">
        <f t="shared" ref="I24:I31" si="9">IFERROR($F24/$F$117,0)</f>
        <v>0</v>
      </c>
      <c r="J24" s="5"/>
      <c r="K24" s="492" t="s">
        <v>163</v>
      </c>
      <c r="L24" s="493"/>
      <c r="M24" s="145"/>
      <c r="N24" s="146"/>
      <c r="O24" s="144"/>
      <c r="P24" s="208">
        <v>0</v>
      </c>
      <c r="Q24" s="74">
        <f>IFERROR($P24/Overview!$D$31,0)</f>
        <v>0</v>
      </c>
      <c r="R24" s="89">
        <f>IFERROR($P24/Overview!$D$30,0)</f>
        <v>0</v>
      </c>
      <c r="S24" s="116">
        <f t="shared" si="3"/>
        <v>0</v>
      </c>
      <c r="T24" s="5"/>
      <c r="U24" s="492" t="s">
        <v>289</v>
      </c>
      <c r="V24" s="5"/>
      <c r="W24" s="28"/>
      <c r="X24" s="197">
        <f>1000*Overview!$D$31</f>
        <v>0</v>
      </c>
      <c r="Y24" s="74">
        <f>IFERROR($X24/Overview!$D$31,0)</f>
        <v>0</v>
      </c>
      <c r="Z24" s="89">
        <f>IFERROR($X24/Overview!$D$30,0)</f>
        <v>0</v>
      </c>
      <c r="AA24" s="116">
        <f t="shared" ca="1" si="7"/>
        <v>0</v>
      </c>
      <c r="AB24" s="5"/>
      <c r="AC24" s="492" t="str">
        <f t="shared" si="1"/>
        <v>Administration / Payroll</v>
      </c>
      <c r="AD24" s="5"/>
      <c r="AE24" s="5"/>
      <c r="AF24" s="224">
        <v>0</v>
      </c>
      <c r="AG24" s="224">
        <v>0</v>
      </c>
      <c r="AH24" s="248"/>
      <c r="AI24" s="74">
        <f t="shared" ref="AI24:AI38" si="10">X24</f>
        <v>0</v>
      </c>
      <c r="AJ24" s="74">
        <f t="shared" ref="AJ24:AW24" si="11">IF(AJ$15&lt;$AH24,AI24*(1+$AF24),AI24*(1+$AG24))</f>
        <v>0</v>
      </c>
      <c r="AK24" s="74">
        <f t="shared" si="11"/>
        <v>0</v>
      </c>
      <c r="AL24" s="74">
        <f t="shared" si="11"/>
        <v>0</v>
      </c>
      <c r="AM24" s="74">
        <f t="shared" si="11"/>
        <v>0</v>
      </c>
      <c r="AN24" s="74">
        <f t="shared" si="11"/>
        <v>0</v>
      </c>
      <c r="AO24" s="74">
        <f t="shared" si="11"/>
        <v>0</v>
      </c>
      <c r="AP24" s="74">
        <f t="shared" si="11"/>
        <v>0</v>
      </c>
      <c r="AQ24" s="74">
        <f t="shared" si="11"/>
        <v>0</v>
      </c>
      <c r="AR24" s="74">
        <f t="shared" si="11"/>
        <v>0</v>
      </c>
      <c r="AS24" s="74">
        <f t="shared" si="11"/>
        <v>0</v>
      </c>
      <c r="AT24" s="74">
        <f t="shared" si="11"/>
        <v>0</v>
      </c>
      <c r="AU24" s="74">
        <f t="shared" si="11"/>
        <v>0</v>
      </c>
      <c r="AV24" s="74">
        <f t="shared" si="11"/>
        <v>0</v>
      </c>
      <c r="AW24" s="85">
        <f t="shared" si="11"/>
        <v>0</v>
      </c>
    </row>
    <row r="25" spans="2:49" x14ac:dyDescent="0.3">
      <c r="B25" s="36" t="s">
        <v>164</v>
      </c>
      <c r="C25" s="5"/>
      <c r="D25" s="5"/>
      <c r="E25" s="28"/>
      <c r="F25" s="197">
        <v>0</v>
      </c>
      <c r="G25" s="74">
        <f>IFERROR($F25/Overview!$D$31,0)</f>
        <v>0</v>
      </c>
      <c r="H25" s="89">
        <f>IFERROR($F25/Overview!$D$30,0)</f>
        <v>0</v>
      </c>
      <c r="I25" s="116">
        <f t="shared" si="9"/>
        <v>0</v>
      </c>
      <c r="J25" s="5"/>
      <c r="K25" s="492" t="s">
        <v>165</v>
      </c>
      <c r="L25" s="493"/>
      <c r="M25" s="145"/>
      <c r="N25" s="146"/>
      <c r="O25" s="144"/>
      <c r="P25" s="208">
        <v>0</v>
      </c>
      <c r="Q25" s="74">
        <f>IFERROR($P25/Overview!$D$31,0)</f>
        <v>0</v>
      </c>
      <c r="R25" s="89">
        <f>IFERROR($P25/Overview!$D$30,0)</f>
        <v>0</v>
      </c>
      <c r="S25" s="116">
        <f t="shared" si="3"/>
        <v>0</v>
      </c>
      <c r="T25" s="5"/>
      <c r="U25" s="492" t="s">
        <v>290</v>
      </c>
      <c r="V25" s="5"/>
      <c r="W25" s="28"/>
      <c r="X25" s="197">
        <f>150*Overview!$D$31</f>
        <v>0</v>
      </c>
      <c r="Y25" s="74">
        <f>IFERROR($X25/Overview!$D$31,0)</f>
        <v>0</v>
      </c>
      <c r="Z25" s="89">
        <f>IFERROR($X25/Overview!$D$30,0)</f>
        <v>0</v>
      </c>
      <c r="AA25" s="116">
        <f t="shared" ca="1" si="7"/>
        <v>0</v>
      </c>
      <c r="AB25" s="5"/>
      <c r="AC25" s="492" t="str">
        <f t="shared" si="1"/>
        <v>Gas</v>
      </c>
      <c r="AD25" s="5"/>
      <c r="AE25" s="5"/>
      <c r="AF25" s="224">
        <v>0</v>
      </c>
      <c r="AG25" s="224">
        <v>0</v>
      </c>
      <c r="AH25" s="248"/>
      <c r="AI25" s="74">
        <f t="shared" si="10"/>
        <v>0</v>
      </c>
      <c r="AJ25" s="74">
        <f t="shared" ref="AJ25:AW25" si="12">IF(AJ$15&lt;$AH25,AI25*(1+$AF25),AI25*(1+$AG25))</f>
        <v>0</v>
      </c>
      <c r="AK25" s="74">
        <f t="shared" si="12"/>
        <v>0</v>
      </c>
      <c r="AL25" s="74">
        <f t="shared" si="12"/>
        <v>0</v>
      </c>
      <c r="AM25" s="74">
        <f t="shared" si="12"/>
        <v>0</v>
      </c>
      <c r="AN25" s="74">
        <f t="shared" si="12"/>
        <v>0</v>
      </c>
      <c r="AO25" s="74">
        <f t="shared" si="12"/>
        <v>0</v>
      </c>
      <c r="AP25" s="74">
        <f t="shared" si="12"/>
        <v>0</v>
      </c>
      <c r="AQ25" s="74">
        <f t="shared" si="12"/>
        <v>0</v>
      </c>
      <c r="AR25" s="74">
        <f t="shared" si="12"/>
        <v>0</v>
      </c>
      <c r="AS25" s="74">
        <f t="shared" si="12"/>
        <v>0</v>
      </c>
      <c r="AT25" s="74">
        <f t="shared" si="12"/>
        <v>0</v>
      </c>
      <c r="AU25" s="74">
        <f t="shared" si="12"/>
        <v>0</v>
      </c>
      <c r="AV25" s="74">
        <f t="shared" si="12"/>
        <v>0</v>
      </c>
      <c r="AW25" s="85">
        <f t="shared" si="12"/>
        <v>0</v>
      </c>
    </row>
    <row r="26" spans="2:49" x14ac:dyDescent="0.3">
      <c r="B26" s="36" t="s">
        <v>166</v>
      </c>
      <c r="C26" s="5"/>
      <c r="D26" s="5"/>
      <c r="E26" s="28"/>
      <c r="F26" s="197">
        <v>0</v>
      </c>
      <c r="G26" s="74">
        <f>IFERROR($F26/Overview!$D$31,0)</f>
        <v>0</v>
      </c>
      <c r="H26" s="89">
        <f>IFERROR($F26/Overview!$D$30,0)</f>
        <v>0</v>
      </c>
      <c r="I26" s="116">
        <f t="shared" si="9"/>
        <v>0</v>
      </c>
      <c r="J26" s="5"/>
      <c r="K26" s="492" t="s">
        <v>167</v>
      </c>
      <c r="L26" s="493"/>
      <c r="M26" s="145"/>
      <c r="N26" s="146"/>
      <c r="O26" s="144"/>
      <c r="P26" s="208">
        <v>0</v>
      </c>
      <c r="Q26" s="74">
        <f>IFERROR($P26/Overview!$D$31,0)</f>
        <v>0</v>
      </c>
      <c r="R26" s="89">
        <f>IFERROR($P26/Overview!$D$30,0)</f>
        <v>0</v>
      </c>
      <c r="S26" s="116">
        <f t="shared" si="3"/>
        <v>0</v>
      </c>
      <c r="T26" s="5"/>
      <c r="U26" s="492" t="s">
        <v>89</v>
      </c>
      <c r="V26" s="5"/>
      <c r="W26" s="28"/>
      <c r="X26" s="197">
        <f>350*Overview!$D$31</f>
        <v>0</v>
      </c>
      <c r="Y26" s="74">
        <f>IFERROR($X26/Overview!$D$31,0)</f>
        <v>0</v>
      </c>
      <c r="Z26" s="89">
        <f>IFERROR($X26/Overview!$D$30,0)</f>
        <v>0</v>
      </c>
      <c r="AA26" s="116">
        <f t="shared" ca="1" si="7"/>
        <v>0</v>
      </c>
      <c r="AB26" s="5"/>
      <c r="AC26" s="492" t="str">
        <f t="shared" si="1"/>
        <v>Electric</v>
      </c>
      <c r="AD26" s="5"/>
      <c r="AE26" s="5"/>
      <c r="AF26" s="224">
        <v>0</v>
      </c>
      <c r="AG26" s="224">
        <v>0</v>
      </c>
      <c r="AH26" s="248"/>
      <c r="AI26" s="74">
        <f t="shared" si="10"/>
        <v>0</v>
      </c>
      <c r="AJ26" s="74">
        <f t="shared" ref="AJ26:AW26" si="13">IF(AJ$15&lt;$AH26,AI26*(1+$AF26),AI26*(1+$AG26))</f>
        <v>0</v>
      </c>
      <c r="AK26" s="74">
        <f t="shared" si="13"/>
        <v>0</v>
      </c>
      <c r="AL26" s="74">
        <f t="shared" si="13"/>
        <v>0</v>
      </c>
      <c r="AM26" s="74">
        <f t="shared" si="13"/>
        <v>0</v>
      </c>
      <c r="AN26" s="74">
        <f t="shared" si="13"/>
        <v>0</v>
      </c>
      <c r="AO26" s="74">
        <f t="shared" si="13"/>
        <v>0</v>
      </c>
      <c r="AP26" s="74">
        <f t="shared" si="13"/>
        <v>0</v>
      </c>
      <c r="AQ26" s="74">
        <f t="shared" si="13"/>
        <v>0</v>
      </c>
      <c r="AR26" s="74">
        <f t="shared" si="13"/>
        <v>0</v>
      </c>
      <c r="AS26" s="74">
        <f t="shared" si="13"/>
        <v>0</v>
      </c>
      <c r="AT26" s="74">
        <f t="shared" si="13"/>
        <v>0</v>
      </c>
      <c r="AU26" s="74">
        <f t="shared" si="13"/>
        <v>0</v>
      </c>
      <c r="AV26" s="74">
        <f t="shared" si="13"/>
        <v>0</v>
      </c>
      <c r="AW26" s="85">
        <f t="shared" si="13"/>
        <v>0</v>
      </c>
    </row>
    <row r="27" spans="2:49" x14ac:dyDescent="0.3">
      <c r="B27" s="36" t="s">
        <v>168</v>
      </c>
      <c r="C27" s="5"/>
      <c r="D27" s="5"/>
      <c r="E27" s="28"/>
      <c r="F27" s="197">
        <v>0</v>
      </c>
      <c r="G27" s="74">
        <f>IFERROR($F27/Overview!$D$31,0)</f>
        <v>0</v>
      </c>
      <c r="H27" s="89">
        <f>IFERROR($F27/Overview!$D$30,0)</f>
        <v>0</v>
      </c>
      <c r="I27" s="116">
        <f t="shared" si="9"/>
        <v>0</v>
      </c>
      <c r="J27" s="5"/>
      <c r="K27" s="492" t="s">
        <v>169</v>
      </c>
      <c r="L27" s="493"/>
      <c r="M27" s="145"/>
      <c r="N27" s="146"/>
      <c r="O27" s="144"/>
      <c r="P27" s="208">
        <v>0</v>
      </c>
      <c r="Q27" s="74">
        <f>IFERROR($P27/Overview!$D$31,0)</f>
        <v>0</v>
      </c>
      <c r="R27" s="89">
        <f>IFERROR($P27/Overview!$D$30,0)</f>
        <v>0</v>
      </c>
      <c r="S27" s="116">
        <f t="shared" si="3"/>
        <v>0</v>
      </c>
      <c r="T27" s="5"/>
      <c r="U27" s="492" t="s">
        <v>291</v>
      </c>
      <c r="V27" s="5"/>
      <c r="W27" s="28"/>
      <c r="X27" s="197">
        <f>450*Overview!$D$31</f>
        <v>0</v>
      </c>
      <c r="Y27" s="74">
        <f>IFERROR($X27/Overview!$D$31,0)</f>
        <v>0</v>
      </c>
      <c r="Z27" s="89">
        <f>IFERROR($X27/Overview!$D$30,0)</f>
        <v>0</v>
      </c>
      <c r="AA27" s="116">
        <f t="shared" ca="1" si="7"/>
        <v>0</v>
      </c>
      <c r="AB27" s="5"/>
      <c r="AC27" s="492" t="str">
        <f t="shared" si="1"/>
        <v>Water &amp; Sewer</v>
      </c>
      <c r="AD27" s="5"/>
      <c r="AE27" s="5"/>
      <c r="AF27" s="224">
        <v>0</v>
      </c>
      <c r="AG27" s="224">
        <v>0</v>
      </c>
      <c r="AH27" s="248"/>
      <c r="AI27" s="74">
        <f t="shared" si="10"/>
        <v>0</v>
      </c>
      <c r="AJ27" s="74">
        <f t="shared" ref="AJ27:AW27" si="14">IF(AJ$15&lt;$AH27,AI27*(1+$AF27),AI27*(1+$AG27))</f>
        <v>0</v>
      </c>
      <c r="AK27" s="74">
        <f t="shared" si="14"/>
        <v>0</v>
      </c>
      <c r="AL27" s="74">
        <f t="shared" si="14"/>
        <v>0</v>
      </c>
      <c r="AM27" s="74">
        <f t="shared" si="14"/>
        <v>0</v>
      </c>
      <c r="AN27" s="74">
        <f t="shared" si="14"/>
        <v>0</v>
      </c>
      <c r="AO27" s="74">
        <f t="shared" si="14"/>
        <v>0</v>
      </c>
      <c r="AP27" s="74">
        <f t="shared" si="14"/>
        <v>0</v>
      </c>
      <c r="AQ27" s="74">
        <f t="shared" si="14"/>
        <v>0</v>
      </c>
      <c r="AR27" s="74">
        <f t="shared" si="14"/>
        <v>0</v>
      </c>
      <c r="AS27" s="74">
        <f t="shared" si="14"/>
        <v>0</v>
      </c>
      <c r="AT27" s="74">
        <f t="shared" si="14"/>
        <v>0</v>
      </c>
      <c r="AU27" s="74">
        <f t="shared" si="14"/>
        <v>0</v>
      </c>
      <c r="AV27" s="74">
        <f t="shared" si="14"/>
        <v>0</v>
      </c>
      <c r="AW27" s="85">
        <f t="shared" si="14"/>
        <v>0</v>
      </c>
    </row>
    <row r="28" spans="2:49" x14ac:dyDescent="0.3">
      <c r="B28" s="36" t="s">
        <v>170</v>
      </c>
      <c r="C28" s="5"/>
      <c r="D28" s="5"/>
      <c r="E28" s="28"/>
      <c r="F28" s="197">
        <v>0</v>
      </c>
      <c r="G28" s="74">
        <f>IFERROR($F28/Overview!$D$31,0)</f>
        <v>0</v>
      </c>
      <c r="H28" s="89">
        <f>IFERROR($F28/Overview!$D$30,0)</f>
        <v>0</v>
      </c>
      <c r="I28" s="116">
        <f t="shared" si="9"/>
        <v>0</v>
      </c>
      <c r="J28" s="5"/>
      <c r="K28" s="492" t="s">
        <v>47</v>
      </c>
      <c r="L28" s="493"/>
      <c r="M28" s="145"/>
      <c r="N28" s="146"/>
      <c r="O28" s="144"/>
      <c r="P28" s="208">
        <v>0</v>
      </c>
      <c r="Q28" s="74">
        <f>IFERROR($P28/Overview!$D$31,0)</f>
        <v>0</v>
      </c>
      <c r="R28" s="89">
        <f>IFERROR($P28/Overview!$D$30,0)</f>
        <v>0</v>
      </c>
      <c r="S28" s="116">
        <f t="shared" si="3"/>
        <v>0</v>
      </c>
      <c r="T28" s="5"/>
      <c r="U28" s="492" t="s">
        <v>98</v>
      </c>
      <c r="V28" s="5"/>
      <c r="W28" s="28"/>
      <c r="X28" s="197">
        <f>30*Overview!$D$31</f>
        <v>0</v>
      </c>
      <c r="Y28" s="74">
        <f>IFERROR($X28/Overview!$D$31,0)</f>
        <v>0</v>
      </c>
      <c r="Z28" s="89">
        <f>IFERROR($X28/Overview!$D$30,0)</f>
        <v>0</v>
      </c>
      <c r="AA28" s="116">
        <f t="shared" ca="1" si="7"/>
        <v>0</v>
      </c>
      <c r="AB28" s="5"/>
      <c r="AC28" s="492" t="str">
        <f t="shared" si="1"/>
        <v>Trash</v>
      </c>
      <c r="AD28" s="5"/>
      <c r="AE28" s="5"/>
      <c r="AF28" s="224">
        <v>0</v>
      </c>
      <c r="AG28" s="224">
        <v>0</v>
      </c>
      <c r="AH28" s="248"/>
      <c r="AI28" s="74">
        <f t="shared" si="10"/>
        <v>0</v>
      </c>
      <c r="AJ28" s="74">
        <f t="shared" ref="AJ28:AW28" si="15">IF(AJ$15&lt;$AH28,AI28*(1+$AF28),AI28*(1+$AG28))</f>
        <v>0</v>
      </c>
      <c r="AK28" s="74">
        <f t="shared" si="15"/>
        <v>0</v>
      </c>
      <c r="AL28" s="74">
        <f t="shared" si="15"/>
        <v>0</v>
      </c>
      <c r="AM28" s="74">
        <f t="shared" si="15"/>
        <v>0</v>
      </c>
      <c r="AN28" s="74">
        <f t="shared" si="15"/>
        <v>0</v>
      </c>
      <c r="AO28" s="74">
        <f t="shared" si="15"/>
        <v>0</v>
      </c>
      <c r="AP28" s="74">
        <f t="shared" si="15"/>
        <v>0</v>
      </c>
      <c r="AQ28" s="74">
        <f t="shared" si="15"/>
        <v>0</v>
      </c>
      <c r="AR28" s="74">
        <f t="shared" si="15"/>
        <v>0</v>
      </c>
      <c r="AS28" s="74">
        <f t="shared" si="15"/>
        <v>0</v>
      </c>
      <c r="AT28" s="74">
        <f t="shared" si="15"/>
        <v>0</v>
      </c>
      <c r="AU28" s="74">
        <f t="shared" si="15"/>
        <v>0</v>
      </c>
      <c r="AV28" s="74">
        <f t="shared" si="15"/>
        <v>0</v>
      </c>
      <c r="AW28" s="85">
        <f t="shared" si="15"/>
        <v>0</v>
      </c>
    </row>
    <row r="29" spans="2:49" x14ac:dyDescent="0.3">
      <c r="B29" s="36" t="s">
        <v>171</v>
      </c>
      <c r="C29" s="5"/>
      <c r="D29" s="5"/>
      <c r="E29" s="28"/>
      <c r="F29" s="197">
        <v>0</v>
      </c>
      <c r="G29" s="74">
        <f>IFERROR($F29/Overview!$D$31,0)</f>
        <v>0</v>
      </c>
      <c r="H29" s="89">
        <f>IFERROR($F29/Overview!$D$30,0)</f>
        <v>0</v>
      </c>
      <c r="I29" s="116">
        <f t="shared" si="9"/>
        <v>0</v>
      </c>
      <c r="J29" s="5"/>
      <c r="K29" s="492" t="s">
        <v>172</v>
      </c>
      <c r="L29" s="493"/>
      <c r="M29" s="145"/>
      <c r="N29" s="146"/>
      <c r="O29" s="144"/>
      <c r="P29" s="208">
        <v>0</v>
      </c>
      <c r="Q29" s="74">
        <f>IFERROR($P29/Overview!$D$31,0)</f>
        <v>0</v>
      </c>
      <c r="R29" s="89">
        <f>IFERROR($P29/Overview!$D$30,0)</f>
        <v>0</v>
      </c>
      <c r="S29" s="116">
        <f t="shared" si="3"/>
        <v>0</v>
      </c>
      <c r="T29" s="5"/>
      <c r="U29" s="492" t="s">
        <v>292</v>
      </c>
      <c r="V29" s="5"/>
      <c r="W29" s="28"/>
      <c r="X29" s="197">
        <f>200*Overview!$D$31</f>
        <v>0</v>
      </c>
      <c r="Y29" s="74">
        <f>IFERROR($X29/Overview!$D$31,0)</f>
        <v>0</v>
      </c>
      <c r="Z29" s="89">
        <f>IFERROR($X29/Overview!$D$30,0)</f>
        <v>0</v>
      </c>
      <c r="AA29" s="116">
        <f t="shared" ca="1" si="7"/>
        <v>0</v>
      </c>
      <c r="AB29" s="5"/>
      <c r="AC29" s="492" t="str">
        <f t="shared" si="1"/>
        <v>Advertising / Marketing</v>
      </c>
      <c r="AD29" s="5"/>
      <c r="AE29" s="5"/>
      <c r="AF29" s="224">
        <v>0</v>
      </c>
      <c r="AG29" s="224">
        <v>0</v>
      </c>
      <c r="AH29" s="248"/>
      <c r="AI29" s="74">
        <f t="shared" si="10"/>
        <v>0</v>
      </c>
      <c r="AJ29" s="74">
        <f t="shared" ref="AJ29:AW29" si="16">IF(AJ$15&lt;$AH29,AI29*(1+$AF29),AI29*(1+$AG29))</f>
        <v>0</v>
      </c>
      <c r="AK29" s="74">
        <f t="shared" si="16"/>
        <v>0</v>
      </c>
      <c r="AL29" s="74">
        <f t="shared" si="16"/>
        <v>0</v>
      </c>
      <c r="AM29" s="74">
        <f t="shared" si="16"/>
        <v>0</v>
      </c>
      <c r="AN29" s="74">
        <f t="shared" si="16"/>
        <v>0</v>
      </c>
      <c r="AO29" s="74">
        <f t="shared" si="16"/>
        <v>0</v>
      </c>
      <c r="AP29" s="74">
        <f t="shared" si="16"/>
        <v>0</v>
      </c>
      <c r="AQ29" s="74">
        <f t="shared" si="16"/>
        <v>0</v>
      </c>
      <c r="AR29" s="74">
        <f t="shared" si="16"/>
        <v>0</v>
      </c>
      <c r="AS29" s="74">
        <f t="shared" si="16"/>
        <v>0</v>
      </c>
      <c r="AT29" s="74">
        <f t="shared" si="16"/>
        <v>0</v>
      </c>
      <c r="AU29" s="74">
        <f t="shared" si="16"/>
        <v>0</v>
      </c>
      <c r="AV29" s="74">
        <f t="shared" si="16"/>
        <v>0</v>
      </c>
      <c r="AW29" s="85">
        <f t="shared" si="16"/>
        <v>0</v>
      </c>
    </row>
    <row r="30" spans="2:49" x14ac:dyDescent="0.3">
      <c r="B30" s="201" t="s">
        <v>173</v>
      </c>
      <c r="C30" s="202"/>
      <c r="D30" s="202"/>
      <c r="E30" s="185"/>
      <c r="F30" s="197">
        <v>0</v>
      </c>
      <c r="G30" s="74">
        <f>IFERROR($F30/Overview!$D$31,0)</f>
        <v>0</v>
      </c>
      <c r="H30" s="89">
        <f>IFERROR($F30/Overview!$D$30,0)</f>
        <v>0</v>
      </c>
      <c r="I30" s="116">
        <f t="shared" si="9"/>
        <v>0</v>
      </c>
      <c r="J30" s="5"/>
      <c r="K30" s="492" t="s">
        <v>174</v>
      </c>
      <c r="L30" s="493"/>
      <c r="M30" s="145"/>
      <c r="N30" s="146"/>
      <c r="O30" s="144"/>
      <c r="P30" s="208">
        <v>0</v>
      </c>
      <c r="Q30" s="74">
        <f>IFERROR($P30/Overview!$D$31,0)</f>
        <v>0</v>
      </c>
      <c r="R30" s="89">
        <f>IFERROR($P30/Overview!$D$30,0)</f>
        <v>0</v>
      </c>
      <c r="S30" s="116">
        <f t="shared" si="3"/>
        <v>0</v>
      </c>
      <c r="T30" s="5"/>
      <c r="U30" s="492" t="s">
        <v>293</v>
      </c>
      <c r="V30" s="5"/>
      <c r="W30" s="28"/>
      <c r="X30" s="197">
        <f>500*Overview!$D$31</f>
        <v>0</v>
      </c>
      <c r="Y30" s="74">
        <f>IFERROR($X30/Overview!$D$31,0)</f>
        <v>0</v>
      </c>
      <c r="Z30" s="89">
        <f>IFERROR($X30/Overview!$D$30,0)</f>
        <v>0</v>
      </c>
      <c r="AA30" s="116">
        <f t="shared" ca="1" si="7"/>
        <v>0</v>
      </c>
      <c r="AB30" s="5"/>
      <c r="AC30" s="492" t="str">
        <f t="shared" si="1"/>
        <v>Janitorial / Security / Grounds Maintenance</v>
      </c>
      <c r="AD30" s="5"/>
      <c r="AE30" s="5"/>
      <c r="AF30" s="224">
        <v>0</v>
      </c>
      <c r="AG30" s="224">
        <v>0</v>
      </c>
      <c r="AH30" s="248"/>
      <c r="AI30" s="74">
        <f t="shared" si="10"/>
        <v>0</v>
      </c>
      <c r="AJ30" s="74">
        <f t="shared" ref="AJ30:AW30" si="17">IF(AJ$15&lt;$AH30,AI30*(1+$AF30),AI30*(1+$AG30))</f>
        <v>0</v>
      </c>
      <c r="AK30" s="74">
        <f t="shared" si="17"/>
        <v>0</v>
      </c>
      <c r="AL30" s="74">
        <f t="shared" si="17"/>
        <v>0</v>
      </c>
      <c r="AM30" s="74">
        <f t="shared" si="17"/>
        <v>0</v>
      </c>
      <c r="AN30" s="74">
        <f t="shared" si="17"/>
        <v>0</v>
      </c>
      <c r="AO30" s="74">
        <f t="shared" si="17"/>
        <v>0</v>
      </c>
      <c r="AP30" s="74">
        <f t="shared" si="17"/>
        <v>0</v>
      </c>
      <c r="AQ30" s="74">
        <f t="shared" si="17"/>
        <v>0</v>
      </c>
      <c r="AR30" s="74">
        <f t="shared" si="17"/>
        <v>0</v>
      </c>
      <c r="AS30" s="74">
        <f t="shared" si="17"/>
        <v>0</v>
      </c>
      <c r="AT30" s="74">
        <f t="shared" si="17"/>
        <v>0</v>
      </c>
      <c r="AU30" s="74">
        <f t="shared" si="17"/>
        <v>0</v>
      </c>
      <c r="AV30" s="74">
        <f t="shared" si="17"/>
        <v>0</v>
      </c>
      <c r="AW30" s="85">
        <f t="shared" si="17"/>
        <v>0</v>
      </c>
    </row>
    <row r="31" spans="2:49" x14ac:dyDescent="0.3">
      <c r="B31" s="53" t="s">
        <v>175</v>
      </c>
      <c r="C31" s="44"/>
      <c r="D31" s="44"/>
      <c r="E31" s="42"/>
      <c r="F31" s="80">
        <f>SUM(F23:F30)</f>
        <v>0</v>
      </c>
      <c r="G31" s="80">
        <f>IFERROR($F31/Overview!$D$31,0)</f>
        <v>0</v>
      </c>
      <c r="H31" s="79">
        <f>IFERROR($F31/Overview!$D$30,0)</f>
        <v>0</v>
      </c>
      <c r="I31" s="119">
        <f t="shared" si="9"/>
        <v>0</v>
      </c>
      <c r="J31" s="5"/>
      <c r="K31" s="492" t="s">
        <v>176</v>
      </c>
      <c r="L31" s="493"/>
      <c r="M31" s="145"/>
      <c r="N31" s="146"/>
      <c r="O31" s="144"/>
      <c r="P31" s="180">
        <f>$P$58-SUM($P$17:$P$30,$P$32:$P$33)</f>
        <v>0</v>
      </c>
      <c r="Q31" s="74">
        <f>IFERROR($P31/Overview!$D$31,0)</f>
        <v>0</v>
      </c>
      <c r="R31" s="89">
        <f>IFERROR($P31/Overview!$D$30,0)</f>
        <v>0</v>
      </c>
      <c r="S31" s="116">
        <f t="shared" si="3"/>
        <v>0</v>
      </c>
      <c r="T31" s="5"/>
      <c r="U31" s="492" t="s">
        <v>294</v>
      </c>
      <c r="V31" s="5"/>
      <c r="W31" s="28"/>
      <c r="X31" s="197">
        <f>700*Overview!$D$31</f>
        <v>0</v>
      </c>
      <c r="Y31" s="74">
        <f>IFERROR($X31/Overview!$D$31,0)</f>
        <v>0</v>
      </c>
      <c r="Z31" s="89">
        <f>IFERROR($X31/Overview!$D$30,0)</f>
        <v>0</v>
      </c>
      <c r="AA31" s="116">
        <f t="shared" ca="1" si="7"/>
        <v>0</v>
      </c>
      <c r="AB31" s="5"/>
      <c r="AC31" s="492" t="str">
        <f t="shared" si="1"/>
        <v>Repairs &amp; Maintenance</v>
      </c>
      <c r="AD31" s="5"/>
      <c r="AE31" s="5"/>
      <c r="AF31" s="224">
        <v>0</v>
      </c>
      <c r="AG31" s="224">
        <v>0</v>
      </c>
      <c r="AH31" s="248"/>
      <c r="AI31" s="74">
        <f t="shared" si="10"/>
        <v>0</v>
      </c>
      <c r="AJ31" s="74">
        <f t="shared" ref="AJ31:AW31" si="18">IF(AJ$15&lt;$AH31,AI31*(1+$AF31),AI31*(1+$AG31))</f>
        <v>0</v>
      </c>
      <c r="AK31" s="74">
        <f t="shared" si="18"/>
        <v>0</v>
      </c>
      <c r="AL31" s="74">
        <f t="shared" si="18"/>
        <v>0</v>
      </c>
      <c r="AM31" s="74">
        <f t="shared" si="18"/>
        <v>0</v>
      </c>
      <c r="AN31" s="74">
        <f t="shared" si="18"/>
        <v>0</v>
      </c>
      <c r="AO31" s="74">
        <f t="shared" si="18"/>
        <v>0</v>
      </c>
      <c r="AP31" s="74">
        <f t="shared" si="18"/>
        <v>0</v>
      </c>
      <c r="AQ31" s="74">
        <f t="shared" si="18"/>
        <v>0</v>
      </c>
      <c r="AR31" s="74">
        <f t="shared" si="18"/>
        <v>0</v>
      </c>
      <c r="AS31" s="74">
        <f t="shared" si="18"/>
        <v>0</v>
      </c>
      <c r="AT31" s="74">
        <f t="shared" si="18"/>
        <v>0</v>
      </c>
      <c r="AU31" s="74">
        <f t="shared" si="18"/>
        <v>0</v>
      </c>
      <c r="AV31" s="74">
        <f t="shared" si="18"/>
        <v>0</v>
      </c>
      <c r="AW31" s="85">
        <f t="shared" si="18"/>
        <v>0</v>
      </c>
    </row>
    <row r="32" spans="2:49" x14ac:dyDescent="0.3">
      <c r="B32" s="492"/>
      <c r="C32" s="5"/>
      <c r="D32" s="5"/>
      <c r="E32" s="28"/>
      <c r="F32" s="74"/>
      <c r="G32" s="74"/>
      <c r="H32" s="89"/>
      <c r="I32" s="116"/>
      <c r="J32" s="5"/>
      <c r="K32" s="184" t="s">
        <v>177</v>
      </c>
      <c r="L32" s="204"/>
      <c r="M32" s="142"/>
      <c r="N32" s="143"/>
      <c r="O32" s="144"/>
      <c r="P32" s="208">
        <v>0</v>
      </c>
      <c r="Q32" s="74">
        <f>IFERROR($P32/Overview!$D$31,0)</f>
        <v>0</v>
      </c>
      <c r="R32" s="89">
        <f>IFERROR($P32/Overview!$D$30,0)</f>
        <v>0</v>
      </c>
      <c r="S32" s="116">
        <f t="shared" si="3"/>
        <v>0</v>
      </c>
      <c r="T32" s="5"/>
      <c r="U32" s="492" t="s">
        <v>295</v>
      </c>
      <c r="V32" s="5"/>
      <c r="W32" s="28"/>
      <c r="X32" s="74">
        <f ca="1">IFERROR(SUMIFS('Financials- SWHP'!$R$79:$X$79,'Financials- SWHP'!$R$63:$X$63,$Q$62),0)</f>
        <v>0</v>
      </c>
      <c r="Y32" s="74">
        <f ca="1">IFERROR($X32/Overview!$D$31,0)</f>
        <v>0</v>
      </c>
      <c r="Z32" s="89">
        <f ca="1">IFERROR($X32/Overview!$D$30,0)</f>
        <v>0</v>
      </c>
      <c r="AA32" s="116">
        <f t="shared" ca="1" si="7"/>
        <v>0</v>
      </c>
      <c r="AB32" s="5"/>
      <c r="AC32" s="492" t="str">
        <f t="shared" si="1"/>
        <v>Real Estate Taxes</v>
      </c>
      <c r="AD32" s="5"/>
      <c r="AE32" s="5"/>
      <c r="AF32" s="528">
        <f>AF17</f>
        <v>0</v>
      </c>
      <c r="AG32" s="528">
        <f>AG17</f>
        <v>0</v>
      </c>
      <c r="AH32" s="529"/>
      <c r="AI32" s="74">
        <f ca="1">IFERROR(X32,0)</f>
        <v>0</v>
      </c>
      <c r="AJ32" s="74">
        <f ca="1">IFERROR(IF(AJ$15&lt;$AH32,AI32*(1+$AF32),AI32*(1+$AG32)),0)</f>
        <v>0</v>
      </c>
      <c r="AK32" s="74">
        <f t="shared" ref="AK32:AW32" ca="1" si="19">IFERROR(IF(AK$15&lt;$AH32,AJ32*(1+$AF32),AJ32*(1+$AG32)),0)</f>
        <v>0</v>
      </c>
      <c r="AL32" s="74">
        <f t="shared" ca="1" si="19"/>
        <v>0</v>
      </c>
      <c r="AM32" s="74">
        <f t="shared" ca="1" si="19"/>
        <v>0</v>
      </c>
      <c r="AN32" s="74">
        <f t="shared" ca="1" si="19"/>
        <v>0</v>
      </c>
      <c r="AO32" s="74">
        <f t="shared" ca="1" si="19"/>
        <v>0</v>
      </c>
      <c r="AP32" s="74">
        <f t="shared" ca="1" si="19"/>
        <v>0</v>
      </c>
      <c r="AQ32" s="74">
        <f t="shared" ca="1" si="19"/>
        <v>0</v>
      </c>
      <c r="AR32" s="74">
        <f t="shared" ca="1" si="19"/>
        <v>0</v>
      </c>
      <c r="AS32" s="74">
        <f t="shared" ca="1" si="19"/>
        <v>0</v>
      </c>
      <c r="AT32" s="74">
        <f t="shared" ca="1" si="19"/>
        <v>0</v>
      </c>
      <c r="AU32" s="74">
        <f t="shared" ca="1" si="19"/>
        <v>0</v>
      </c>
      <c r="AV32" s="74">
        <f t="shared" ca="1" si="19"/>
        <v>0</v>
      </c>
      <c r="AW32" s="85">
        <f t="shared" ca="1" si="19"/>
        <v>0</v>
      </c>
    </row>
    <row r="33" spans="2:49" x14ac:dyDescent="0.3">
      <c r="B33" s="54" t="s">
        <v>178</v>
      </c>
      <c r="C33" s="5"/>
      <c r="D33" s="5"/>
      <c r="E33" s="28"/>
      <c r="F33" s="74"/>
      <c r="G33" s="74"/>
      <c r="H33" s="89"/>
      <c r="I33" s="116"/>
      <c r="J33" s="5"/>
      <c r="K33" s="184" t="s">
        <v>177</v>
      </c>
      <c r="L33" s="204"/>
      <c r="M33" s="142"/>
      <c r="N33" s="143"/>
      <c r="O33" s="144"/>
      <c r="P33" s="208">
        <v>0</v>
      </c>
      <c r="Q33" s="74">
        <f>IFERROR($P33/Overview!$D$31,0)</f>
        <v>0</v>
      </c>
      <c r="R33" s="89">
        <f>IFERROR($P33/Overview!$D$30,0)</f>
        <v>0</v>
      </c>
      <c r="S33" s="116">
        <f t="shared" si="3"/>
        <v>0</v>
      </c>
      <c r="T33" s="5"/>
      <c r="U33" s="492" t="s">
        <v>296</v>
      </c>
      <c r="V33" s="5"/>
      <c r="W33" s="28"/>
      <c r="X33" s="197">
        <f>1000*Overview!$D$31</f>
        <v>0</v>
      </c>
      <c r="Y33" s="74">
        <f>IFERROR($X33/Overview!$D$31,0)</f>
        <v>0</v>
      </c>
      <c r="Z33" s="89">
        <f>IFERROR($X33/Overview!$D$30,0)</f>
        <v>0</v>
      </c>
      <c r="AA33" s="116">
        <f t="shared" ca="1" si="7"/>
        <v>0</v>
      </c>
      <c r="AB33" s="5"/>
      <c r="AC33" s="492" t="str">
        <f t="shared" si="1"/>
        <v>Insurance</v>
      </c>
      <c r="AD33" s="5"/>
      <c r="AE33" s="5"/>
      <c r="AF33" s="224">
        <v>0</v>
      </c>
      <c r="AG33" s="224">
        <v>0</v>
      </c>
      <c r="AH33" s="248"/>
      <c r="AI33" s="74">
        <f t="shared" si="10"/>
        <v>0</v>
      </c>
      <c r="AJ33" s="74">
        <f t="shared" ref="AJ33:AW33" si="20">IF(AJ$15&lt;$AH33,AI33*(1+$AF33),AI33*(1+$AG33))</f>
        <v>0</v>
      </c>
      <c r="AK33" s="74">
        <f t="shared" si="20"/>
        <v>0</v>
      </c>
      <c r="AL33" s="74">
        <f t="shared" si="20"/>
        <v>0</v>
      </c>
      <c r="AM33" s="74">
        <f t="shared" si="20"/>
        <v>0</v>
      </c>
      <c r="AN33" s="74">
        <f t="shared" si="20"/>
        <v>0</v>
      </c>
      <c r="AO33" s="74">
        <f t="shared" si="20"/>
        <v>0</v>
      </c>
      <c r="AP33" s="74">
        <f t="shared" si="20"/>
        <v>0</v>
      </c>
      <c r="AQ33" s="74">
        <f t="shared" si="20"/>
        <v>0</v>
      </c>
      <c r="AR33" s="74">
        <f t="shared" si="20"/>
        <v>0</v>
      </c>
      <c r="AS33" s="74">
        <f t="shared" si="20"/>
        <v>0</v>
      </c>
      <c r="AT33" s="74">
        <f t="shared" si="20"/>
        <v>0</v>
      </c>
      <c r="AU33" s="74">
        <f t="shared" si="20"/>
        <v>0</v>
      </c>
      <c r="AV33" s="74">
        <f t="shared" si="20"/>
        <v>0</v>
      </c>
      <c r="AW33" s="85">
        <f t="shared" si="20"/>
        <v>0</v>
      </c>
    </row>
    <row r="34" spans="2:49" x14ac:dyDescent="0.3">
      <c r="B34" s="36" t="s">
        <v>179</v>
      </c>
      <c r="C34" s="5"/>
      <c r="D34" s="5"/>
      <c r="E34" s="199">
        <v>0</v>
      </c>
      <c r="F34" s="124">
        <f>$E34*SUM(F$31:F33)</f>
        <v>0</v>
      </c>
      <c r="G34" s="74">
        <f>IFERROR($F34/Overview!$D$31,0)</f>
        <v>0</v>
      </c>
      <c r="H34" s="89">
        <f>IFERROR($F34/Overview!$D$30,0)</f>
        <v>0</v>
      </c>
      <c r="I34" s="116">
        <f t="shared" ref="I34:I43" si="21">IFERROR($F34/$F$117,0)</f>
        <v>0</v>
      </c>
      <c r="J34" s="5"/>
      <c r="K34" s="41" t="s">
        <v>180</v>
      </c>
      <c r="L34" s="44"/>
      <c r="M34" s="149"/>
      <c r="N34" s="150"/>
      <c r="O34" s="151"/>
      <c r="P34" s="94">
        <f>SUM(P17:P33)</f>
        <v>0</v>
      </c>
      <c r="Q34" s="80">
        <f>IFERROR($P34/Overview!$D$31,0)</f>
        <v>0</v>
      </c>
      <c r="R34" s="79">
        <f>IFERROR($P34/Overview!$D$30,0)</f>
        <v>0</v>
      </c>
      <c r="S34" s="119">
        <f t="shared" si="3"/>
        <v>0</v>
      </c>
      <c r="T34" s="5"/>
      <c r="U34" s="492" t="s">
        <v>255</v>
      </c>
      <c r="V34" s="5"/>
      <c r="W34" s="28"/>
      <c r="X34" s="197">
        <f>300*Overview!$D$31</f>
        <v>0</v>
      </c>
      <c r="Y34" s="74">
        <f>IFERROR($X34/Overview!$D$31,0)</f>
        <v>0</v>
      </c>
      <c r="Z34" s="89">
        <f>IFERROR($X34/Overview!$D$30,0)</f>
        <v>0</v>
      </c>
      <c r="AA34" s="116">
        <f t="shared" ca="1" si="7"/>
        <v>0</v>
      </c>
      <c r="AB34" s="5"/>
      <c r="AC34" s="492" t="str">
        <f t="shared" si="1"/>
        <v>Replacement Reserve</v>
      </c>
      <c r="AD34" s="5"/>
      <c r="AE34" s="5"/>
      <c r="AF34" s="224">
        <v>0</v>
      </c>
      <c r="AG34" s="224">
        <v>0</v>
      </c>
      <c r="AH34" s="248"/>
      <c r="AI34" s="74">
        <f t="shared" si="10"/>
        <v>0</v>
      </c>
      <c r="AJ34" s="74">
        <f t="shared" ref="AJ34:AW34" si="22">IF(AJ$15&lt;$AH34,AI34*(1+$AF34),AI34*(1+$AG34))</f>
        <v>0</v>
      </c>
      <c r="AK34" s="74">
        <f t="shared" si="22"/>
        <v>0</v>
      </c>
      <c r="AL34" s="74">
        <f t="shared" si="22"/>
        <v>0</v>
      </c>
      <c r="AM34" s="74">
        <f t="shared" si="22"/>
        <v>0</v>
      </c>
      <c r="AN34" s="74">
        <f t="shared" si="22"/>
        <v>0</v>
      </c>
      <c r="AO34" s="74">
        <f t="shared" si="22"/>
        <v>0</v>
      </c>
      <c r="AP34" s="74">
        <f t="shared" si="22"/>
        <v>0</v>
      </c>
      <c r="AQ34" s="74">
        <f t="shared" si="22"/>
        <v>0</v>
      </c>
      <c r="AR34" s="74">
        <f t="shared" si="22"/>
        <v>0</v>
      </c>
      <c r="AS34" s="74">
        <f t="shared" si="22"/>
        <v>0</v>
      </c>
      <c r="AT34" s="74">
        <f t="shared" si="22"/>
        <v>0</v>
      </c>
      <c r="AU34" s="74">
        <f t="shared" si="22"/>
        <v>0</v>
      </c>
      <c r="AV34" s="74">
        <f t="shared" si="22"/>
        <v>0</v>
      </c>
      <c r="AW34" s="85">
        <f t="shared" si="22"/>
        <v>0</v>
      </c>
    </row>
    <row r="35" spans="2:49" x14ac:dyDescent="0.3">
      <c r="B35" s="36" t="s">
        <v>181</v>
      </c>
      <c r="C35" s="5"/>
      <c r="D35" s="5"/>
      <c r="E35" s="199">
        <v>0</v>
      </c>
      <c r="F35" s="124">
        <f>$E35*SUM(F$31:F34)</f>
        <v>0</v>
      </c>
      <c r="G35" s="74">
        <f>IFERROR($F35/Overview!$D$31,0)</f>
        <v>0</v>
      </c>
      <c r="H35" s="89">
        <f>IFERROR($F35/Overview!$D$30,0)</f>
        <v>0</v>
      </c>
      <c r="I35" s="116">
        <f t="shared" si="21"/>
        <v>0</v>
      </c>
      <c r="J35" s="5"/>
      <c r="K35" s="100"/>
      <c r="L35" s="5"/>
      <c r="M35" s="147"/>
      <c r="N35" s="148"/>
      <c r="O35" s="144"/>
      <c r="P35" s="93" t="b">
        <f>P34=$P$58</f>
        <v>1</v>
      </c>
      <c r="Q35" s="74"/>
      <c r="R35" s="89"/>
      <c r="S35" s="116"/>
      <c r="T35" s="5"/>
      <c r="U35" s="184" t="s">
        <v>297</v>
      </c>
      <c r="V35" s="209"/>
      <c r="W35" s="210"/>
      <c r="X35" s="197">
        <v>0</v>
      </c>
      <c r="Y35" s="74">
        <f>IFERROR($X35/Overview!$D$31,0)</f>
        <v>0</v>
      </c>
      <c r="Z35" s="89">
        <f>IFERROR($X35/Overview!$D$30,0)</f>
        <v>0</v>
      </c>
      <c r="AA35" s="116">
        <f t="shared" ca="1" si="7"/>
        <v>0</v>
      </c>
      <c r="AB35" s="5"/>
      <c r="AC35" s="492" t="str">
        <f t="shared" si="1"/>
        <v>Other Expense Item:</v>
      </c>
      <c r="AD35" s="5"/>
      <c r="AE35" s="5"/>
      <c r="AF35" s="224">
        <v>0</v>
      </c>
      <c r="AG35" s="224">
        <v>0</v>
      </c>
      <c r="AH35" s="248"/>
      <c r="AI35" s="74">
        <f t="shared" si="10"/>
        <v>0</v>
      </c>
      <c r="AJ35" s="74">
        <f t="shared" ref="AJ35:AW35" si="23">IF(AJ$15&lt;$AH35,AI35*(1+$AF35),AI35*(1+$AG35))</f>
        <v>0</v>
      </c>
      <c r="AK35" s="74">
        <f t="shared" si="23"/>
        <v>0</v>
      </c>
      <c r="AL35" s="74">
        <f t="shared" si="23"/>
        <v>0</v>
      </c>
      <c r="AM35" s="74">
        <f t="shared" si="23"/>
        <v>0</v>
      </c>
      <c r="AN35" s="74">
        <f t="shared" si="23"/>
        <v>0</v>
      </c>
      <c r="AO35" s="74">
        <f t="shared" si="23"/>
        <v>0</v>
      </c>
      <c r="AP35" s="74">
        <f t="shared" si="23"/>
        <v>0</v>
      </c>
      <c r="AQ35" s="74">
        <f t="shared" si="23"/>
        <v>0</v>
      </c>
      <c r="AR35" s="74">
        <f t="shared" si="23"/>
        <v>0</v>
      </c>
      <c r="AS35" s="74">
        <f t="shared" si="23"/>
        <v>0</v>
      </c>
      <c r="AT35" s="74">
        <f t="shared" si="23"/>
        <v>0</v>
      </c>
      <c r="AU35" s="74">
        <f t="shared" si="23"/>
        <v>0</v>
      </c>
      <c r="AV35" s="74">
        <f t="shared" si="23"/>
        <v>0</v>
      </c>
      <c r="AW35" s="85">
        <f t="shared" si="23"/>
        <v>0</v>
      </c>
    </row>
    <row r="36" spans="2:49" x14ac:dyDescent="0.3">
      <c r="B36" s="36" t="s">
        <v>182</v>
      </c>
      <c r="C36" s="5"/>
      <c r="D36" s="5"/>
      <c r="E36" s="199">
        <v>0</v>
      </c>
      <c r="F36" s="124">
        <f>$E36*SUM(F$31:F35)</f>
        <v>0</v>
      </c>
      <c r="G36" s="74">
        <f>IFERROR($F36/Overview!$D$31,0)</f>
        <v>0</v>
      </c>
      <c r="H36" s="89">
        <f>IFERROR($F36/Overview!$D$30,0)</f>
        <v>0</v>
      </c>
      <c r="I36" s="116">
        <f t="shared" si="21"/>
        <v>0</v>
      </c>
      <c r="J36" s="5"/>
      <c r="K36" s="45" t="s">
        <v>57</v>
      </c>
      <c r="L36" s="46"/>
      <c r="M36" s="135" t="s">
        <v>279</v>
      </c>
      <c r="N36" s="129" t="s">
        <v>280</v>
      </c>
      <c r="O36" s="136" t="s">
        <v>281</v>
      </c>
      <c r="P36" s="139"/>
      <c r="Q36" s="109"/>
      <c r="R36" s="104"/>
      <c r="S36" s="118"/>
      <c r="T36" s="5"/>
      <c r="U36" s="184" t="s">
        <v>297</v>
      </c>
      <c r="V36" s="209"/>
      <c r="W36" s="210"/>
      <c r="X36" s="197">
        <v>0</v>
      </c>
      <c r="Y36" s="74">
        <f>IFERROR($X36/Overview!$D$31,0)</f>
        <v>0</v>
      </c>
      <c r="Z36" s="89">
        <f>IFERROR($X36/Overview!$D$30,0)</f>
        <v>0</v>
      </c>
      <c r="AA36" s="116">
        <f t="shared" ca="1" si="7"/>
        <v>0</v>
      </c>
      <c r="AB36" s="5"/>
      <c r="AC36" s="492" t="str">
        <f t="shared" si="1"/>
        <v>Other Expense Item:</v>
      </c>
      <c r="AD36" s="5"/>
      <c r="AE36" s="5"/>
      <c r="AF36" s="224">
        <v>0</v>
      </c>
      <c r="AG36" s="224">
        <v>0</v>
      </c>
      <c r="AH36" s="248"/>
      <c r="AI36" s="74">
        <f t="shared" si="10"/>
        <v>0</v>
      </c>
      <c r="AJ36" s="74">
        <f t="shared" ref="AJ36:AW36" si="24">IF(AJ$15&lt;$AH36,AI36*(1+$AF36),AI36*(1+$AG36))</f>
        <v>0</v>
      </c>
      <c r="AK36" s="74">
        <f t="shared" si="24"/>
        <v>0</v>
      </c>
      <c r="AL36" s="74">
        <f t="shared" si="24"/>
        <v>0</v>
      </c>
      <c r="AM36" s="74">
        <f t="shared" si="24"/>
        <v>0</v>
      </c>
      <c r="AN36" s="74">
        <f t="shared" si="24"/>
        <v>0</v>
      </c>
      <c r="AO36" s="74">
        <f t="shared" si="24"/>
        <v>0</v>
      </c>
      <c r="AP36" s="74">
        <f t="shared" si="24"/>
        <v>0</v>
      </c>
      <c r="AQ36" s="74">
        <f t="shared" si="24"/>
        <v>0</v>
      </c>
      <c r="AR36" s="74">
        <f t="shared" si="24"/>
        <v>0</v>
      </c>
      <c r="AS36" s="74">
        <f t="shared" si="24"/>
        <v>0</v>
      </c>
      <c r="AT36" s="74">
        <f t="shared" si="24"/>
        <v>0</v>
      </c>
      <c r="AU36" s="74">
        <f t="shared" si="24"/>
        <v>0</v>
      </c>
      <c r="AV36" s="74">
        <f t="shared" si="24"/>
        <v>0</v>
      </c>
      <c r="AW36" s="85">
        <f t="shared" si="24"/>
        <v>0</v>
      </c>
    </row>
    <row r="37" spans="2:49" x14ac:dyDescent="0.3">
      <c r="B37" s="36" t="s">
        <v>183</v>
      </c>
      <c r="C37" s="5"/>
      <c r="D37" s="5"/>
      <c r="E37" s="199">
        <v>0</v>
      </c>
      <c r="F37" s="124">
        <f>$E37*SUM(F$31:F36)</f>
        <v>0</v>
      </c>
      <c r="G37" s="74">
        <f>IFERROR($F37/Overview!$D$31,0)</f>
        <v>0</v>
      </c>
      <c r="H37" s="89">
        <f>IFERROR($F37/Overview!$D$30,0)</f>
        <v>0</v>
      </c>
      <c r="I37" s="116">
        <f t="shared" si="21"/>
        <v>0</v>
      </c>
      <c r="J37" s="5"/>
      <c r="K37" s="184" t="s">
        <v>184</v>
      </c>
      <c r="L37" s="202"/>
      <c r="M37" s="205" t="s">
        <v>139</v>
      </c>
      <c r="N37" s="206" t="s">
        <v>139</v>
      </c>
      <c r="O37" s="207" t="s">
        <v>139</v>
      </c>
      <c r="P37" s="208">
        <v>0</v>
      </c>
      <c r="Q37" s="74">
        <f>IFERROR($P37/Overview!$D$31,0)</f>
        <v>0</v>
      </c>
      <c r="R37" s="89">
        <f>IFERROR($P37/Overview!$D$30,0)</f>
        <v>0</v>
      </c>
      <c r="S37" s="116">
        <f t="shared" ref="S37:S52" si="25">IFERROR($P37/$P$58,0)</f>
        <v>0</v>
      </c>
      <c r="T37" s="5"/>
      <c r="U37" s="184" t="s">
        <v>297</v>
      </c>
      <c r="V37" s="209"/>
      <c r="W37" s="210"/>
      <c r="X37" s="197">
        <v>0</v>
      </c>
      <c r="Y37" s="74">
        <f>IFERROR($X37/Overview!$D$31,0)</f>
        <v>0</v>
      </c>
      <c r="Z37" s="89">
        <f>IFERROR($X37/Overview!$D$30,0)</f>
        <v>0</v>
      </c>
      <c r="AA37" s="116">
        <f t="shared" ca="1" si="7"/>
        <v>0</v>
      </c>
      <c r="AB37" s="5"/>
      <c r="AC37" s="492" t="str">
        <f t="shared" si="1"/>
        <v>Other Expense Item:</v>
      </c>
      <c r="AD37" s="5"/>
      <c r="AE37" s="5"/>
      <c r="AF37" s="224">
        <v>0</v>
      </c>
      <c r="AG37" s="224">
        <v>0</v>
      </c>
      <c r="AH37" s="248"/>
      <c r="AI37" s="74">
        <f t="shared" si="10"/>
        <v>0</v>
      </c>
      <c r="AJ37" s="74">
        <f t="shared" ref="AJ37:AW37" si="26">IF(AJ$15&lt;$AH37,AI37*(1+$AF37),AI37*(1+$AG37))</f>
        <v>0</v>
      </c>
      <c r="AK37" s="74">
        <f t="shared" si="26"/>
        <v>0</v>
      </c>
      <c r="AL37" s="74">
        <f t="shared" si="26"/>
        <v>0</v>
      </c>
      <c r="AM37" s="74">
        <f t="shared" si="26"/>
        <v>0</v>
      </c>
      <c r="AN37" s="74">
        <f t="shared" si="26"/>
        <v>0</v>
      </c>
      <c r="AO37" s="74">
        <f t="shared" si="26"/>
        <v>0</v>
      </c>
      <c r="AP37" s="74">
        <f t="shared" si="26"/>
        <v>0</v>
      </c>
      <c r="AQ37" s="74">
        <f t="shared" si="26"/>
        <v>0</v>
      </c>
      <c r="AR37" s="74">
        <f t="shared" si="26"/>
        <v>0</v>
      </c>
      <c r="AS37" s="74">
        <f t="shared" si="26"/>
        <v>0</v>
      </c>
      <c r="AT37" s="74">
        <f t="shared" si="26"/>
        <v>0</v>
      </c>
      <c r="AU37" s="74">
        <f t="shared" si="26"/>
        <v>0</v>
      </c>
      <c r="AV37" s="74">
        <f t="shared" si="26"/>
        <v>0</v>
      </c>
      <c r="AW37" s="85">
        <f t="shared" si="26"/>
        <v>0</v>
      </c>
    </row>
    <row r="38" spans="2:49" x14ac:dyDescent="0.3">
      <c r="B38" s="36" t="s">
        <v>185</v>
      </c>
      <c r="C38" s="5"/>
      <c r="D38" s="5"/>
      <c r="E38" s="199">
        <v>0</v>
      </c>
      <c r="F38" s="124">
        <f>$E38*SUM(F$31:F37)</f>
        <v>0</v>
      </c>
      <c r="G38" s="74">
        <f>IFERROR($F38/Overview!$D$31,0)</f>
        <v>0</v>
      </c>
      <c r="H38" s="89">
        <f>IFERROR($F38/Overview!$D$30,0)</f>
        <v>0</v>
      </c>
      <c r="I38" s="116">
        <f t="shared" si="21"/>
        <v>0</v>
      </c>
      <c r="J38" s="5"/>
      <c r="K38" s="184" t="s">
        <v>153</v>
      </c>
      <c r="L38" s="202"/>
      <c r="M38" s="205" t="s">
        <v>139</v>
      </c>
      <c r="N38" s="206" t="s">
        <v>139</v>
      </c>
      <c r="O38" s="207" t="s">
        <v>139</v>
      </c>
      <c r="P38" s="208">
        <v>0</v>
      </c>
      <c r="Q38" s="74">
        <f>IFERROR($P38/Overview!$D$31,0)</f>
        <v>0</v>
      </c>
      <c r="R38" s="89">
        <f>IFERROR($P38/Overview!$D$30,0)</f>
        <v>0</v>
      </c>
      <c r="S38" s="116">
        <f t="shared" si="25"/>
        <v>0</v>
      </c>
      <c r="T38" s="5"/>
      <c r="U38" s="184" t="s">
        <v>297</v>
      </c>
      <c r="V38" s="209"/>
      <c r="W38" s="210"/>
      <c r="X38" s="197">
        <v>0</v>
      </c>
      <c r="Y38" s="74">
        <f>IFERROR($X38/Overview!$D$31,0)</f>
        <v>0</v>
      </c>
      <c r="Z38" s="89">
        <f>IFERROR($X38/Overview!$D$30,0)</f>
        <v>0</v>
      </c>
      <c r="AA38" s="116">
        <f t="shared" ca="1" si="7"/>
        <v>0</v>
      </c>
      <c r="AB38" s="5"/>
      <c r="AC38" s="492" t="str">
        <f t="shared" si="1"/>
        <v>Other Expense Item:</v>
      </c>
      <c r="AD38" s="5"/>
      <c r="AE38" s="5"/>
      <c r="AF38" s="224">
        <v>0</v>
      </c>
      <c r="AG38" s="224">
        <v>0</v>
      </c>
      <c r="AH38" s="248"/>
      <c r="AI38" s="74">
        <f t="shared" si="10"/>
        <v>0</v>
      </c>
      <c r="AJ38" s="74">
        <f t="shared" ref="AJ38:AW38" si="27">IF(AJ$15&lt;$AH38,AI38*(1+$AF38),AI38*(1+$AG38))</f>
        <v>0</v>
      </c>
      <c r="AK38" s="74">
        <f t="shared" si="27"/>
        <v>0</v>
      </c>
      <c r="AL38" s="74">
        <f t="shared" si="27"/>
        <v>0</v>
      </c>
      <c r="AM38" s="74">
        <f t="shared" si="27"/>
        <v>0</v>
      </c>
      <c r="AN38" s="74">
        <f t="shared" si="27"/>
        <v>0</v>
      </c>
      <c r="AO38" s="74">
        <f t="shared" si="27"/>
        <v>0</v>
      </c>
      <c r="AP38" s="74">
        <f t="shared" si="27"/>
        <v>0</v>
      </c>
      <c r="AQ38" s="74">
        <f t="shared" si="27"/>
        <v>0</v>
      </c>
      <c r="AR38" s="74">
        <f t="shared" si="27"/>
        <v>0</v>
      </c>
      <c r="AS38" s="74">
        <f t="shared" si="27"/>
        <v>0</v>
      </c>
      <c r="AT38" s="74">
        <f t="shared" si="27"/>
        <v>0</v>
      </c>
      <c r="AU38" s="74">
        <f t="shared" si="27"/>
        <v>0</v>
      </c>
      <c r="AV38" s="74">
        <f t="shared" si="27"/>
        <v>0</v>
      </c>
      <c r="AW38" s="85">
        <f t="shared" si="27"/>
        <v>0</v>
      </c>
    </row>
    <row r="39" spans="2:49" x14ac:dyDescent="0.3">
      <c r="B39" s="36" t="s">
        <v>186</v>
      </c>
      <c r="C39" s="5"/>
      <c r="D39" s="5"/>
      <c r="E39" s="199">
        <v>0</v>
      </c>
      <c r="F39" s="124">
        <f>$E39*SUM(F$31:F38)</f>
        <v>0</v>
      </c>
      <c r="G39" s="74">
        <f>IFERROR($F39/Overview!$D$31,0)</f>
        <v>0</v>
      </c>
      <c r="H39" s="89">
        <f>IFERROR($F39/Overview!$D$30,0)</f>
        <v>0</v>
      </c>
      <c r="I39" s="116">
        <f t="shared" si="21"/>
        <v>0</v>
      </c>
      <c r="J39" s="5"/>
      <c r="K39" s="184" t="s">
        <v>155</v>
      </c>
      <c r="L39" s="202"/>
      <c r="M39" s="205" t="s">
        <v>139</v>
      </c>
      <c r="N39" s="206" t="s">
        <v>139</v>
      </c>
      <c r="O39" s="207" t="s">
        <v>139</v>
      </c>
      <c r="P39" s="208">
        <v>0</v>
      </c>
      <c r="Q39" s="74">
        <f>IFERROR($P39/Overview!$D$31,0)</f>
        <v>0</v>
      </c>
      <c r="R39" s="89">
        <f>IFERROR($P39/Overview!$D$30,0)</f>
        <v>0</v>
      </c>
      <c r="S39" s="116">
        <f t="shared" si="25"/>
        <v>0</v>
      </c>
      <c r="T39" s="5"/>
      <c r="U39" s="492" t="s">
        <v>298</v>
      </c>
      <c r="V39" s="5"/>
      <c r="W39" s="211">
        <v>0</v>
      </c>
      <c r="X39" s="74">
        <f ca="1">$W39*SUM($X$20,-$X$23)</f>
        <v>0</v>
      </c>
      <c r="Y39" s="74">
        <f ca="1">IFERROR($X39/Overview!$D$31,0)</f>
        <v>0</v>
      </c>
      <c r="Z39" s="89">
        <f ca="1">IFERROR($X39/Overview!$D$30,0)</f>
        <v>0</v>
      </c>
      <c r="AA39" s="116">
        <f t="shared" ca="1" si="7"/>
        <v>0</v>
      </c>
      <c r="AB39" s="5"/>
      <c r="AC39" s="492" t="str">
        <f t="shared" si="1"/>
        <v>Management Fee</v>
      </c>
      <c r="AD39" s="5"/>
      <c r="AE39" s="5"/>
      <c r="AF39" s="35"/>
      <c r="AG39" s="35"/>
      <c r="AH39" s="35"/>
      <c r="AI39" s="74">
        <f t="shared" ref="AI39:AW39" ca="1" si="28">$W39*SUM(AI$20,-AI$23)</f>
        <v>0</v>
      </c>
      <c r="AJ39" s="74">
        <f t="shared" ca="1" si="28"/>
        <v>0</v>
      </c>
      <c r="AK39" s="74">
        <f t="shared" ca="1" si="28"/>
        <v>0</v>
      </c>
      <c r="AL39" s="74">
        <f t="shared" ca="1" si="28"/>
        <v>0</v>
      </c>
      <c r="AM39" s="74">
        <f t="shared" ca="1" si="28"/>
        <v>0</v>
      </c>
      <c r="AN39" s="74">
        <f t="shared" ca="1" si="28"/>
        <v>0</v>
      </c>
      <c r="AO39" s="74">
        <f t="shared" ca="1" si="28"/>
        <v>0</v>
      </c>
      <c r="AP39" s="74">
        <f t="shared" ca="1" si="28"/>
        <v>0</v>
      </c>
      <c r="AQ39" s="74">
        <f t="shared" ca="1" si="28"/>
        <v>0</v>
      </c>
      <c r="AR39" s="74">
        <f t="shared" ca="1" si="28"/>
        <v>0</v>
      </c>
      <c r="AS39" s="74">
        <f t="shared" ca="1" si="28"/>
        <v>0</v>
      </c>
      <c r="AT39" s="74">
        <f t="shared" ca="1" si="28"/>
        <v>0</v>
      </c>
      <c r="AU39" s="74">
        <f t="shared" ca="1" si="28"/>
        <v>0</v>
      </c>
      <c r="AV39" s="74">
        <f t="shared" ca="1" si="28"/>
        <v>0</v>
      </c>
      <c r="AW39" s="85">
        <f t="shared" ca="1" si="28"/>
        <v>0</v>
      </c>
    </row>
    <row r="40" spans="2:49" x14ac:dyDescent="0.3">
      <c r="B40" s="36" t="s">
        <v>187</v>
      </c>
      <c r="C40" s="5"/>
      <c r="D40" s="5"/>
      <c r="E40" s="199">
        <v>0</v>
      </c>
      <c r="F40" s="124">
        <f>$E40*SUM(F$31:F39)</f>
        <v>0</v>
      </c>
      <c r="G40" s="74">
        <f>IFERROR($F40/Overview!$D$31,0)</f>
        <v>0</v>
      </c>
      <c r="H40" s="89">
        <f>IFERROR($F40/Overview!$D$30,0)</f>
        <v>0</v>
      </c>
      <c r="I40" s="116">
        <f t="shared" si="21"/>
        <v>0</v>
      </c>
      <c r="J40" s="5"/>
      <c r="K40" s="184" t="s">
        <v>157</v>
      </c>
      <c r="L40" s="202"/>
      <c r="M40" s="205" t="s">
        <v>139</v>
      </c>
      <c r="N40" s="206" t="s">
        <v>139</v>
      </c>
      <c r="O40" s="207" t="s">
        <v>139</v>
      </c>
      <c r="P40" s="208">
        <v>0</v>
      </c>
      <c r="Q40" s="74">
        <f>IFERROR($P40/Overview!$D$31,0)</f>
        <v>0</v>
      </c>
      <c r="R40" s="89">
        <f>IFERROR($P40/Overview!$D$30,0)</f>
        <v>0</v>
      </c>
      <c r="S40" s="116">
        <f t="shared" si="25"/>
        <v>0</v>
      </c>
      <c r="T40" s="5"/>
      <c r="U40" s="41" t="s">
        <v>299</v>
      </c>
      <c r="V40" s="44"/>
      <c r="W40" s="42"/>
      <c r="X40" s="80">
        <f ca="1">IFERROR(SUM(X23:X39),0)</f>
        <v>0</v>
      </c>
      <c r="Y40" s="80">
        <f ca="1">IFERROR($X40/Overview!$D$31,0)</f>
        <v>0</v>
      </c>
      <c r="Z40" s="79">
        <f ca="1">IFERROR($X40/Overview!$D$30,0)</f>
        <v>0</v>
      </c>
      <c r="AA40" s="119">
        <f t="shared" ca="1" si="7"/>
        <v>0</v>
      </c>
      <c r="AB40" s="5"/>
      <c r="AC40" s="41" t="str">
        <f t="shared" si="1"/>
        <v>Total Operating Expenses</v>
      </c>
      <c r="AD40" s="44"/>
      <c r="AE40" s="44"/>
      <c r="AF40" s="43"/>
      <c r="AG40" s="43"/>
      <c r="AH40" s="43"/>
      <c r="AI40" s="80">
        <f t="shared" ref="AI40:AW40" ca="1" si="29">SUM(AI23:AI39)</f>
        <v>0</v>
      </c>
      <c r="AJ40" s="80">
        <f t="shared" ca="1" si="29"/>
        <v>0</v>
      </c>
      <c r="AK40" s="80">
        <f t="shared" ca="1" si="29"/>
        <v>0</v>
      </c>
      <c r="AL40" s="80">
        <f t="shared" ca="1" si="29"/>
        <v>0</v>
      </c>
      <c r="AM40" s="80">
        <f t="shared" ca="1" si="29"/>
        <v>0</v>
      </c>
      <c r="AN40" s="80">
        <f t="shared" ca="1" si="29"/>
        <v>0</v>
      </c>
      <c r="AO40" s="80">
        <f t="shared" ca="1" si="29"/>
        <v>0</v>
      </c>
      <c r="AP40" s="80">
        <f t="shared" ca="1" si="29"/>
        <v>0</v>
      </c>
      <c r="AQ40" s="80">
        <f t="shared" ca="1" si="29"/>
        <v>0</v>
      </c>
      <c r="AR40" s="80">
        <f t="shared" ca="1" si="29"/>
        <v>0</v>
      </c>
      <c r="AS40" s="80">
        <f t="shared" ca="1" si="29"/>
        <v>0</v>
      </c>
      <c r="AT40" s="80">
        <f t="shared" ca="1" si="29"/>
        <v>0</v>
      </c>
      <c r="AU40" s="80">
        <f t="shared" ca="1" si="29"/>
        <v>0</v>
      </c>
      <c r="AV40" s="80">
        <f t="shared" ca="1" si="29"/>
        <v>0</v>
      </c>
      <c r="AW40" s="86">
        <f t="shared" ca="1" si="29"/>
        <v>0</v>
      </c>
    </row>
    <row r="41" spans="2:49" x14ac:dyDescent="0.3">
      <c r="B41" s="36" t="s">
        <v>188</v>
      </c>
      <c r="C41" s="5"/>
      <c r="D41" s="5"/>
      <c r="E41" s="251"/>
      <c r="F41" s="197">
        <v>0</v>
      </c>
      <c r="G41" s="74">
        <f>IFERROR($F41/Overview!$D$31,0)</f>
        <v>0</v>
      </c>
      <c r="H41" s="89">
        <f>IFERROR($F41/Overview!$D$30,0)</f>
        <v>0</v>
      </c>
      <c r="I41" s="116">
        <f t="shared" si="21"/>
        <v>0</v>
      </c>
      <c r="J41" s="5"/>
      <c r="K41" s="184" t="s">
        <v>158</v>
      </c>
      <c r="L41" s="202"/>
      <c r="M41" s="147"/>
      <c r="N41" s="148"/>
      <c r="O41" s="144"/>
      <c r="P41" s="208">
        <v>0</v>
      </c>
      <c r="Q41" s="74">
        <f>IFERROR($P41/Overview!$D$31,0)</f>
        <v>0</v>
      </c>
      <c r="R41" s="89">
        <f>IFERROR($P41/Overview!$D$30,0)</f>
        <v>0</v>
      </c>
      <c r="S41" s="116">
        <f t="shared" si="25"/>
        <v>0</v>
      </c>
      <c r="T41" s="5"/>
      <c r="U41" s="100"/>
      <c r="V41" s="5"/>
      <c r="W41" s="28"/>
      <c r="X41" s="74"/>
      <c r="Y41" s="74"/>
      <c r="Z41" s="89"/>
      <c r="AA41" s="116"/>
      <c r="AB41" s="5"/>
      <c r="AC41" s="100" t="str">
        <f t="shared" si="1"/>
        <v/>
      </c>
      <c r="AD41" s="5"/>
      <c r="AE41" s="5"/>
      <c r="AF41" s="35"/>
      <c r="AG41" s="35"/>
      <c r="AH41" s="35"/>
      <c r="AI41" s="35"/>
      <c r="AJ41" s="35"/>
      <c r="AK41" s="35"/>
      <c r="AL41" s="35"/>
      <c r="AM41" s="35"/>
      <c r="AN41" s="35"/>
      <c r="AO41" s="35"/>
      <c r="AP41" s="35"/>
      <c r="AQ41" s="35"/>
      <c r="AR41" s="35"/>
      <c r="AS41" s="35"/>
      <c r="AT41" s="35"/>
      <c r="AU41" s="35"/>
      <c r="AV41" s="35"/>
      <c r="AW41" s="29"/>
    </row>
    <row r="42" spans="2:49" x14ac:dyDescent="0.3">
      <c r="B42" s="201" t="s">
        <v>189</v>
      </c>
      <c r="C42" s="202"/>
      <c r="D42" s="202"/>
      <c r="E42" s="185"/>
      <c r="F42" s="197">
        <v>0</v>
      </c>
      <c r="G42" s="74">
        <f>IFERROR($F42/Overview!$D$31,0)</f>
        <v>0</v>
      </c>
      <c r="H42" s="89">
        <f>IFERROR($F42/Overview!$D$30,0)</f>
        <v>0</v>
      </c>
      <c r="I42" s="116">
        <f t="shared" si="21"/>
        <v>0</v>
      </c>
      <c r="J42" s="5"/>
      <c r="K42" s="184" t="s">
        <v>159</v>
      </c>
      <c r="L42" s="202"/>
      <c r="M42" s="147"/>
      <c r="N42" s="148"/>
      <c r="O42" s="144"/>
      <c r="P42" s="208">
        <v>0</v>
      </c>
      <c r="Q42" s="74">
        <f>IFERROR($P42/Overview!$D$31,0)</f>
        <v>0</v>
      </c>
      <c r="R42" s="89">
        <f>IFERROR($P42/Overview!$D$30,0)</f>
        <v>0</v>
      </c>
      <c r="S42" s="116">
        <f t="shared" si="25"/>
        <v>0</v>
      </c>
      <c r="T42" s="5"/>
      <c r="U42" s="57" t="s">
        <v>300</v>
      </c>
      <c r="V42" s="51"/>
      <c r="W42" s="52"/>
      <c r="X42" s="110">
        <f ca="1">IFERROR(X20-X40,0)</f>
        <v>0</v>
      </c>
      <c r="Y42" s="110">
        <f ca="1">IFERROR($X42/Overview!$D$31,0)</f>
        <v>0</v>
      </c>
      <c r="Z42" s="105">
        <f ca="1">IFERROR($X42/Overview!$D$30,0)</f>
        <v>0</v>
      </c>
      <c r="AA42" s="117">
        <f ca="1">IFERROR($X42/$X$20,0)</f>
        <v>0</v>
      </c>
      <c r="AB42" s="5"/>
      <c r="AC42" s="57" t="str">
        <f t="shared" si="1"/>
        <v>Net Operating Income</v>
      </c>
      <c r="AD42" s="51"/>
      <c r="AE42" s="51"/>
      <c r="AF42" s="229"/>
      <c r="AG42" s="229"/>
      <c r="AH42" s="229"/>
      <c r="AI42" s="110">
        <f t="shared" ref="AI42:AW42" ca="1" si="30">AI20-AI40</f>
        <v>0</v>
      </c>
      <c r="AJ42" s="110">
        <f t="shared" ca="1" si="30"/>
        <v>0</v>
      </c>
      <c r="AK42" s="110">
        <f t="shared" ca="1" si="30"/>
        <v>0</v>
      </c>
      <c r="AL42" s="110">
        <f t="shared" ca="1" si="30"/>
        <v>0</v>
      </c>
      <c r="AM42" s="110">
        <f t="shared" ca="1" si="30"/>
        <v>0</v>
      </c>
      <c r="AN42" s="110">
        <f t="shared" ca="1" si="30"/>
        <v>0</v>
      </c>
      <c r="AO42" s="110">
        <f t="shared" ca="1" si="30"/>
        <v>0</v>
      </c>
      <c r="AP42" s="110">
        <f t="shared" ca="1" si="30"/>
        <v>0</v>
      </c>
      <c r="AQ42" s="110">
        <f t="shared" ca="1" si="30"/>
        <v>0</v>
      </c>
      <c r="AR42" s="110">
        <f t="shared" ca="1" si="30"/>
        <v>0</v>
      </c>
      <c r="AS42" s="110">
        <f t="shared" ca="1" si="30"/>
        <v>0</v>
      </c>
      <c r="AT42" s="110">
        <f t="shared" ca="1" si="30"/>
        <v>0</v>
      </c>
      <c r="AU42" s="110">
        <f t="shared" ca="1" si="30"/>
        <v>0</v>
      </c>
      <c r="AV42" s="110">
        <f t="shared" ca="1" si="30"/>
        <v>0</v>
      </c>
      <c r="AW42" s="230">
        <f t="shared" ca="1" si="30"/>
        <v>0</v>
      </c>
    </row>
    <row r="43" spans="2:49" x14ac:dyDescent="0.3">
      <c r="B43" s="53" t="s">
        <v>190</v>
      </c>
      <c r="C43" s="44"/>
      <c r="D43" s="44"/>
      <c r="E43" s="42"/>
      <c r="F43" s="80">
        <f>SUM(F34:F42)</f>
        <v>0</v>
      </c>
      <c r="G43" s="80">
        <f>IFERROR($F43/Overview!$D$31,0)</f>
        <v>0</v>
      </c>
      <c r="H43" s="79">
        <f>IFERROR($F43/Overview!$D$30,0)</f>
        <v>0</v>
      </c>
      <c r="I43" s="119">
        <f t="shared" si="21"/>
        <v>0</v>
      </c>
      <c r="J43" s="5"/>
      <c r="K43" s="184" t="s">
        <v>161</v>
      </c>
      <c r="L43" s="202"/>
      <c r="M43" s="147"/>
      <c r="N43" s="148"/>
      <c r="O43" s="144"/>
      <c r="P43" s="208">
        <v>0</v>
      </c>
      <c r="Q43" s="74">
        <f>IFERROR($P43/Overview!$D$31,0)</f>
        <v>0</v>
      </c>
      <c r="R43" s="89">
        <f>IFERROR($P43/Overview!$D$30,0)</f>
        <v>0</v>
      </c>
      <c r="S43" s="116">
        <f t="shared" si="25"/>
        <v>0</v>
      </c>
      <c r="T43" s="5"/>
      <c r="U43" s="36" t="s">
        <v>301</v>
      </c>
      <c r="V43" s="5"/>
      <c r="W43" s="28"/>
      <c r="X43" s="181">
        <f ca="1">IFERROR(X42/X50,0)</f>
        <v>0</v>
      </c>
      <c r="Y43" s="74"/>
      <c r="Z43" s="89"/>
      <c r="AA43" s="116"/>
      <c r="AB43" s="5"/>
      <c r="AC43" s="36" t="str">
        <f t="shared" si="1"/>
        <v>Debt Service Coverage Ratio</v>
      </c>
      <c r="AD43" s="5"/>
      <c r="AE43" s="5"/>
      <c r="AF43" s="35"/>
      <c r="AG43" s="35"/>
      <c r="AH43" s="35"/>
      <c r="AI43" s="226">
        <f t="shared" ref="AI43:AW43" ca="1" si="31">IFERROR(AI42/AI50,0)</f>
        <v>0</v>
      </c>
      <c r="AJ43" s="226">
        <f t="shared" ca="1" si="31"/>
        <v>0</v>
      </c>
      <c r="AK43" s="226">
        <f t="shared" ca="1" si="31"/>
        <v>0</v>
      </c>
      <c r="AL43" s="226">
        <f t="shared" ca="1" si="31"/>
        <v>0</v>
      </c>
      <c r="AM43" s="226">
        <f t="shared" ca="1" si="31"/>
        <v>0</v>
      </c>
      <c r="AN43" s="226">
        <f t="shared" ca="1" si="31"/>
        <v>0</v>
      </c>
      <c r="AO43" s="226">
        <f t="shared" ca="1" si="31"/>
        <v>0</v>
      </c>
      <c r="AP43" s="226">
        <f t="shared" ca="1" si="31"/>
        <v>0</v>
      </c>
      <c r="AQ43" s="226">
        <f t="shared" ca="1" si="31"/>
        <v>0</v>
      </c>
      <c r="AR43" s="226">
        <f t="shared" ca="1" si="31"/>
        <v>0</v>
      </c>
      <c r="AS43" s="226">
        <f t="shared" ca="1" si="31"/>
        <v>0</v>
      </c>
      <c r="AT43" s="226">
        <f t="shared" ca="1" si="31"/>
        <v>0</v>
      </c>
      <c r="AU43" s="226">
        <f t="shared" ca="1" si="31"/>
        <v>0</v>
      </c>
      <c r="AV43" s="226">
        <f t="shared" ca="1" si="31"/>
        <v>0</v>
      </c>
      <c r="AW43" s="227">
        <f t="shared" ca="1" si="31"/>
        <v>0</v>
      </c>
    </row>
    <row r="44" spans="2:49" x14ac:dyDescent="0.3">
      <c r="B44" s="492"/>
      <c r="C44" s="5"/>
      <c r="D44" s="5"/>
      <c r="E44" s="28"/>
      <c r="F44" s="74"/>
      <c r="G44" s="74"/>
      <c r="H44" s="89"/>
      <c r="I44" s="116"/>
      <c r="J44" s="5"/>
      <c r="K44" s="492" t="s">
        <v>191</v>
      </c>
      <c r="L44" s="5"/>
      <c r="M44" s="147"/>
      <c r="N44" s="148"/>
      <c r="O44" s="144"/>
      <c r="P44" s="208">
        <v>0</v>
      </c>
      <c r="Q44" s="74">
        <f>IFERROR($P44/Overview!$D$31,0)</f>
        <v>0</v>
      </c>
      <c r="R44" s="89">
        <f>IFERROR($P44/Overview!$D$30,0)</f>
        <v>0</v>
      </c>
      <c r="S44" s="116">
        <f t="shared" si="25"/>
        <v>0</v>
      </c>
      <c r="T44" s="5"/>
      <c r="U44" s="100"/>
      <c r="V44" s="5"/>
      <c r="W44" s="28"/>
      <c r="X44" s="74"/>
      <c r="Y44" s="74"/>
      <c r="Z44" s="89"/>
      <c r="AA44" s="116"/>
      <c r="AB44" s="5"/>
      <c r="AC44" s="100" t="str">
        <f t="shared" si="1"/>
        <v/>
      </c>
      <c r="AD44" s="5"/>
      <c r="AE44" s="5"/>
      <c r="AF44" s="35"/>
      <c r="AG44" s="35"/>
      <c r="AH44" s="35"/>
      <c r="AI44" s="35"/>
      <c r="AJ44" s="35"/>
      <c r="AK44" s="35"/>
      <c r="AL44" s="35"/>
      <c r="AM44" s="35"/>
      <c r="AN44" s="35"/>
      <c r="AO44" s="35"/>
      <c r="AP44" s="35"/>
      <c r="AQ44" s="35"/>
      <c r="AR44" s="35"/>
      <c r="AS44" s="35"/>
      <c r="AT44" s="35"/>
      <c r="AU44" s="35"/>
      <c r="AV44" s="35"/>
      <c r="AW44" s="29"/>
    </row>
    <row r="45" spans="2:49" x14ac:dyDescent="0.3">
      <c r="B45" s="57" t="s">
        <v>192</v>
      </c>
      <c r="C45" s="51"/>
      <c r="D45" s="51"/>
      <c r="E45" s="221" t="str">
        <f>IFERROR(IF(Overview!#REF!="Occupied Rehab",$G$45&gt;=5000,$G$45&gt;=15000),"NA")</f>
        <v>NA</v>
      </c>
      <c r="F45" s="110">
        <f>SUM(F43,F31)</f>
        <v>0</v>
      </c>
      <c r="G45" s="110">
        <f>IFERROR($F45/Overview!$D$31,0)</f>
        <v>0</v>
      </c>
      <c r="H45" s="105">
        <f>IFERROR($F45/Overview!$D$30,0)</f>
        <v>0</v>
      </c>
      <c r="I45" s="117">
        <f>IFERROR($F45/$F$117,0)</f>
        <v>0</v>
      </c>
      <c r="J45" s="5"/>
      <c r="K45" s="492" t="s">
        <v>193</v>
      </c>
      <c r="L45" s="5"/>
      <c r="M45" s="147"/>
      <c r="N45" s="148"/>
      <c r="O45" s="144"/>
      <c r="P45" s="208">
        <v>0</v>
      </c>
      <c r="Q45" s="74">
        <f>IFERROR($P45/Overview!$D$31,0)</f>
        <v>0</v>
      </c>
      <c r="R45" s="89">
        <f>IFERROR($P45/Overview!$D$30,0)</f>
        <v>0</v>
      </c>
      <c r="S45" s="116">
        <f t="shared" si="25"/>
        <v>0</v>
      </c>
      <c r="T45" s="5"/>
      <c r="U45" s="45" t="s">
        <v>302</v>
      </c>
      <c r="V45" s="46"/>
      <c r="W45" s="47"/>
      <c r="X45" s="109"/>
      <c r="Y45" s="109"/>
      <c r="Z45" s="104"/>
      <c r="AA45" s="118"/>
      <c r="AB45" s="5"/>
      <c r="AC45" s="45" t="str">
        <f t="shared" si="1"/>
        <v>Debt Services</v>
      </c>
      <c r="AD45" s="46"/>
      <c r="AE45" s="46"/>
      <c r="AF45" s="48"/>
      <c r="AG45" s="48"/>
      <c r="AH45" s="48"/>
      <c r="AI45" s="48"/>
      <c r="AJ45" s="48"/>
      <c r="AK45" s="48"/>
      <c r="AL45" s="48"/>
      <c r="AM45" s="48"/>
      <c r="AN45" s="48"/>
      <c r="AO45" s="48"/>
      <c r="AP45" s="48"/>
      <c r="AQ45" s="48"/>
      <c r="AR45" s="48"/>
      <c r="AS45" s="48"/>
      <c r="AT45" s="48"/>
      <c r="AU45" s="48"/>
      <c r="AV45" s="48"/>
      <c r="AW45" s="49"/>
    </row>
    <row r="46" spans="2:49" x14ac:dyDescent="0.3">
      <c r="B46" s="492"/>
      <c r="C46" s="5"/>
      <c r="D46" s="5"/>
      <c r="E46" s="28"/>
      <c r="F46" s="74"/>
      <c r="G46" s="74"/>
      <c r="H46" s="89"/>
      <c r="I46" s="116"/>
      <c r="J46" s="5"/>
      <c r="K46" s="492" t="s">
        <v>47</v>
      </c>
      <c r="L46" s="5"/>
      <c r="M46" s="147"/>
      <c r="N46" s="148"/>
      <c r="O46" s="144"/>
      <c r="P46" s="208">
        <v>0</v>
      </c>
      <c r="Q46" s="74">
        <f>IFERROR($P46/Overview!$D$31,0)</f>
        <v>0</v>
      </c>
      <c r="R46" s="89">
        <f>IFERROR($P46/Overview!$D$30,0)</f>
        <v>0</v>
      </c>
      <c r="S46" s="116">
        <f t="shared" si="25"/>
        <v>0</v>
      </c>
      <c r="T46" s="5"/>
      <c r="U46" s="492" t="str">
        <f>$K37</f>
        <v>Senior Permanent Loan</v>
      </c>
      <c r="V46" s="5"/>
      <c r="W46" s="28"/>
      <c r="X46" s="74">
        <f>IF($M37="Amortizing",-PMT($N37/12,$O37*12,$P37)*12,
IF($M37="Interest-Only",$P37*$N37,0))</f>
        <v>0</v>
      </c>
      <c r="Y46" s="74">
        <f>IFERROR($X46/Overview!$D$31,0)</f>
        <v>0</v>
      </c>
      <c r="Z46" s="89">
        <f>IFERROR($X46/Overview!$D$30,0)</f>
        <v>0</v>
      </c>
      <c r="AA46" s="116">
        <f ca="1">IFERROR($X46/$X$20,0)</f>
        <v>0</v>
      </c>
      <c r="AB46" s="5"/>
      <c r="AC46" s="492" t="str">
        <f t="shared" si="1"/>
        <v>Senior Permanent Loan</v>
      </c>
      <c r="AD46" s="5"/>
      <c r="AE46" s="5"/>
      <c r="AF46" s="35"/>
      <c r="AG46" s="35"/>
      <c r="AH46" s="35"/>
      <c r="AI46" s="74">
        <f t="shared" ref="AI46:AW49" si="32">$X46</f>
        <v>0</v>
      </c>
      <c r="AJ46" s="74">
        <f t="shared" si="32"/>
        <v>0</v>
      </c>
      <c r="AK46" s="74">
        <f t="shared" si="32"/>
        <v>0</v>
      </c>
      <c r="AL46" s="74">
        <f t="shared" si="32"/>
        <v>0</v>
      </c>
      <c r="AM46" s="74">
        <f t="shared" si="32"/>
        <v>0</v>
      </c>
      <c r="AN46" s="74">
        <f t="shared" si="32"/>
        <v>0</v>
      </c>
      <c r="AO46" s="74">
        <f t="shared" si="32"/>
        <v>0</v>
      </c>
      <c r="AP46" s="74">
        <f t="shared" si="32"/>
        <v>0</v>
      </c>
      <c r="AQ46" s="74">
        <f t="shared" si="32"/>
        <v>0</v>
      </c>
      <c r="AR46" s="74">
        <f t="shared" si="32"/>
        <v>0</v>
      </c>
      <c r="AS46" s="74">
        <f t="shared" si="32"/>
        <v>0</v>
      </c>
      <c r="AT46" s="74">
        <f t="shared" si="32"/>
        <v>0</v>
      </c>
      <c r="AU46" s="74">
        <f t="shared" si="32"/>
        <v>0</v>
      </c>
      <c r="AV46" s="74">
        <f t="shared" si="32"/>
        <v>0</v>
      </c>
      <c r="AW46" s="85">
        <f t="shared" si="32"/>
        <v>0</v>
      </c>
    </row>
    <row r="47" spans="2:49" x14ac:dyDescent="0.3">
      <c r="B47" s="45" t="s">
        <v>73</v>
      </c>
      <c r="C47" s="46"/>
      <c r="D47" s="46"/>
      <c r="E47" s="47"/>
      <c r="F47" s="109"/>
      <c r="G47" s="109"/>
      <c r="H47" s="104"/>
      <c r="I47" s="118"/>
      <c r="J47" s="5"/>
      <c r="K47" s="492" t="s">
        <v>172</v>
      </c>
      <c r="L47" s="5"/>
      <c r="M47" s="147"/>
      <c r="N47" s="148"/>
      <c r="O47" s="144"/>
      <c r="P47" s="208">
        <v>0</v>
      </c>
      <c r="Q47" s="74">
        <f>IFERROR($P47/Overview!$D$31,0)</f>
        <v>0</v>
      </c>
      <c r="R47" s="89">
        <f>IFERROR($P47/Overview!$D$30,0)</f>
        <v>0</v>
      </c>
      <c r="S47" s="116">
        <f t="shared" si="25"/>
        <v>0</v>
      </c>
      <c r="T47" s="5"/>
      <c r="U47" s="492" t="str">
        <f>$K38</f>
        <v>Mezzanine Loan A</v>
      </c>
      <c r="V47" s="5"/>
      <c r="W47" s="28"/>
      <c r="X47" s="74">
        <f>IF($M38="Amortizing",-PMT($N38/12,$O38*12,$P38)*12,
IF($M38="Interest-Only",$P38*$N38,0))</f>
        <v>0</v>
      </c>
      <c r="Y47" s="74">
        <f>IFERROR($X47/Overview!$D$31,0)</f>
        <v>0</v>
      </c>
      <c r="Z47" s="89">
        <f>IFERROR($X47/Overview!$D$30,0)</f>
        <v>0</v>
      </c>
      <c r="AA47" s="116">
        <f ca="1">IFERROR($X47/$X$20,0)</f>
        <v>0</v>
      </c>
      <c r="AB47" s="5"/>
      <c r="AC47" s="492" t="str">
        <f t="shared" si="1"/>
        <v>Mezzanine Loan A</v>
      </c>
      <c r="AD47" s="5"/>
      <c r="AE47" s="5"/>
      <c r="AF47" s="35"/>
      <c r="AG47" s="35"/>
      <c r="AH47" s="35"/>
      <c r="AI47" s="74">
        <f t="shared" si="32"/>
        <v>0</v>
      </c>
      <c r="AJ47" s="74">
        <f t="shared" si="32"/>
        <v>0</v>
      </c>
      <c r="AK47" s="74">
        <f t="shared" si="32"/>
        <v>0</v>
      </c>
      <c r="AL47" s="74">
        <f t="shared" si="32"/>
        <v>0</v>
      </c>
      <c r="AM47" s="74">
        <f t="shared" si="32"/>
        <v>0</v>
      </c>
      <c r="AN47" s="74">
        <f t="shared" si="32"/>
        <v>0</v>
      </c>
      <c r="AO47" s="74">
        <f t="shared" si="32"/>
        <v>0</v>
      </c>
      <c r="AP47" s="74">
        <f t="shared" si="32"/>
        <v>0</v>
      </c>
      <c r="AQ47" s="74">
        <f t="shared" si="32"/>
        <v>0</v>
      </c>
      <c r="AR47" s="74">
        <f t="shared" si="32"/>
        <v>0</v>
      </c>
      <c r="AS47" s="74">
        <f t="shared" si="32"/>
        <v>0</v>
      </c>
      <c r="AT47" s="74">
        <f t="shared" si="32"/>
        <v>0</v>
      </c>
      <c r="AU47" s="74">
        <f t="shared" si="32"/>
        <v>0</v>
      </c>
      <c r="AV47" s="74">
        <f t="shared" si="32"/>
        <v>0</v>
      </c>
      <c r="AW47" s="85">
        <f t="shared" si="32"/>
        <v>0</v>
      </c>
    </row>
    <row r="48" spans="2:49" x14ac:dyDescent="0.3">
      <c r="B48" s="54" t="s">
        <v>194</v>
      </c>
      <c r="C48" s="5"/>
      <c r="D48" s="5"/>
      <c r="E48" s="28"/>
      <c r="F48" s="74"/>
      <c r="G48" s="74"/>
      <c r="H48" s="89"/>
      <c r="I48" s="116"/>
      <c r="J48" s="5"/>
      <c r="K48" s="492" t="s">
        <v>174</v>
      </c>
      <c r="L48" s="5"/>
      <c r="M48" s="147"/>
      <c r="N48" s="148"/>
      <c r="O48" s="144"/>
      <c r="P48" s="208">
        <v>0</v>
      </c>
      <c r="Q48" s="74">
        <f>IFERROR($P48/Overview!$D$31,0)</f>
        <v>0</v>
      </c>
      <c r="R48" s="89">
        <f>IFERROR($P48/Overview!$D$30,0)</f>
        <v>0</v>
      </c>
      <c r="S48" s="116">
        <f t="shared" si="25"/>
        <v>0</v>
      </c>
      <c r="T48" s="5"/>
      <c r="U48" s="492" t="str">
        <f>$K39</f>
        <v>Mezzanine Loan B</v>
      </c>
      <c r="V48" s="5"/>
      <c r="W48" s="28"/>
      <c r="X48" s="74">
        <f>IF($M39="Amortizing",-PMT($N39/12,$O39*12,$P39)*12,
IF($M39="Interest-Only",$P39*$N39,0))</f>
        <v>0</v>
      </c>
      <c r="Y48" s="74">
        <f>IFERROR($X48/Overview!$D$31,0)</f>
        <v>0</v>
      </c>
      <c r="Z48" s="89">
        <f>IFERROR($X48/Overview!$D$30,0)</f>
        <v>0</v>
      </c>
      <c r="AA48" s="116">
        <f ca="1">IFERROR($X48/$X$20,0)</f>
        <v>0</v>
      </c>
      <c r="AB48" s="5"/>
      <c r="AC48" s="492" t="str">
        <f t="shared" si="1"/>
        <v>Mezzanine Loan B</v>
      </c>
      <c r="AD48" s="5"/>
      <c r="AE48" s="5"/>
      <c r="AF48" s="35"/>
      <c r="AG48" s="35"/>
      <c r="AH48" s="35"/>
      <c r="AI48" s="74">
        <f t="shared" si="32"/>
        <v>0</v>
      </c>
      <c r="AJ48" s="74">
        <f t="shared" si="32"/>
        <v>0</v>
      </c>
      <c r="AK48" s="74">
        <f t="shared" si="32"/>
        <v>0</v>
      </c>
      <c r="AL48" s="74">
        <f t="shared" si="32"/>
        <v>0</v>
      </c>
      <c r="AM48" s="74">
        <f t="shared" si="32"/>
        <v>0</v>
      </c>
      <c r="AN48" s="74">
        <f t="shared" si="32"/>
        <v>0</v>
      </c>
      <c r="AO48" s="74">
        <f t="shared" si="32"/>
        <v>0</v>
      </c>
      <c r="AP48" s="74">
        <f t="shared" si="32"/>
        <v>0</v>
      </c>
      <c r="AQ48" s="74">
        <f t="shared" si="32"/>
        <v>0</v>
      </c>
      <c r="AR48" s="74">
        <f t="shared" si="32"/>
        <v>0</v>
      </c>
      <c r="AS48" s="74">
        <f t="shared" si="32"/>
        <v>0</v>
      </c>
      <c r="AT48" s="74">
        <f t="shared" si="32"/>
        <v>0</v>
      </c>
      <c r="AU48" s="74">
        <f t="shared" si="32"/>
        <v>0</v>
      </c>
      <c r="AV48" s="74">
        <f t="shared" si="32"/>
        <v>0</v>
      </c>
      <c r="AW48" s="85">
        <f t="shared" si="32"/>
        <v>0</v>
      </c>
    </row>
    <row r="49" spans="2:49" x14ac:dyDescent="0.3">
      <c r="B49" s="36" t="s">
        <v>195</v>
      </c>
      <c r="C49" s="5"/>
      <c r="D49" s="5"/>
      <c r="E49" s="28"/>
      <c r="F49" s="197">
        <v>0</v>
      </c>
      <c r="G49" s="74">
        <f>IFERROR($F49/Overview!$D$31,0)</f>
        <v>0</v>
      </c>
      <c r="H49" s="89">
        <f>IFERROR($F49/Overview!$D$30,0)</f>
        <v>0</v>
      </c>
      <c r="I49" s="116">
        <f t="shared" ref="I49:I56" si="33">IFERROR($F49/$F$117,0)</f>
        <v>0</v>
      </c>
      <c r="J49" s="5"/>
      <c r="K49" s="492" t="s">
        <v>176</v>
      </c>
      <c r="L49" s="5"/>
      <c r="M49" s="147"/>
      <c r="N49" s="148"/>
      <c r="O49" s="144"/>
      <c r="P49" s="180">
        <f>$P$58-SUM($P$37:$P$48,$P$50:$P$51)</f>
        <v>0</v>
      </c>
      <c r="Q49" s="74">
        <f>IFERROR($P49/Overview!$D$31,0)</f>
        <v>0</v>
      </c>
      <c r="R49" s="89">
        <f>IFERROR($P49/Overview!$D$30,0)</f>
        <v>0</v>
      </c>
      <c r="S49" s="116">
        <f t="shared" si="25"/>
        <v>0</v>
      </c>
      <c r="T49" s="5"/>
      <c r="U49" s="492" t="str">
        <f>$K40</f>
        <v>Mezzanine Loan C</v>
      </c>
      <c r="V49" s="5"/>
      <c r="W49" s="28"/>
      <c r="X49" s="74">
        <f>IF($M40="Amortizing",-PMT($N40/12,$O40*12,$P40)*12,
IF($M40="Interest-Only",$P40*$N40,0))</f>
        <v>0</v>
      </c>
      <c r="Y49" s="74">
        <f>IFERROR($X49/Overview!$D$31,0)</f>
        <v>0</v>
      </c>
      <c r="Z49" s="89">
        <f>IFERROR($X49/Overview!$D$30,0)</f>
        <v>0</v>
      </c>
      <c r="AA49" s="116">
        <f ca="1">IFERROR($X49/$X$20,0)</f>
        <v>0</v>
      </c>
      <c r="AB49" s="5"/>
      <c r="AC49" s="492" t="str">
        <f t="shared" si="1"/>
        <v>Mezzanine Loan C</v>
      </c>
      <c r="AD49" s="5"/>
      <c r="AE49" s="5"/>
      <c r="AF49" s="35"/>
      <c r="AG49" s="35"/>
      <c r="AH49" s="35"/>
      <c r="AI49" s="74">
        <f t="shared" si="32"/>
        <v>0</v>
      </c>
      <c r="AJ49" s="74">
        <f t="shared" si="32"/>
        <v>0</v>
      </c>
      <c r="AK49" s="74">
        <f t="shared" si="32"/>
        <v>0</v>
      </c>
      <c r="AL49" s="74">
        <f t="shared" si="32"/>
        <v>0</v>
      </c>
      <c r="AM49" s="74">
        <f t="shared" si="32"/>
        <v>0</v>
      </c>
      <c r="AN49" s="74">
        <f t="shared" si="32"/>
        <v>0</v>
      </c>
      <c r="AO49" s="74">
        <f t="shared" si="32"/>
        <v>0</v>
      </c>
      <c r="AP49" s="74">
        <f t="shared" si="32"/>
        <v>0</v>
      </c>
      <c r="AQ49" s="74">
        <f t="shared" si="32"/>
        <v>0</v>
      </c>
      <c r="AR49" s="74">
        <f t="shared" si="32"/>
        <v>0</v>
      </c>
      <c r="AS49" s="74">
        <f t="shared" si="32"/>
        <v>0</v>
      </c>
      <c r="AT49" s="74">
        <f t="shared" si="32"/>
        <v>0</v>
      </c>
      <c r="AU49" s="74">
        <f t="shared" si="32"/>
        <v>0</v>
      </c>
      <c r="AV49" s="74">
        <f t="shared" si="32"/>
        <v>0</v>
      </c>
      <c r="AW49" s="85">
        <f t="shared" si="32"/>
        <v>0</v>
      </c>
    </row>
    <row r="50" spans="2:49" x14ac:dyDescent="0.3">
      <c r="B50" s="36" t="s">
        <v>196</v>
      </c>
      <c r="C50" s="5"/>
      <c r="D50" s="5"/>
      <c r="E50" s="28"/>
      <c r="F50" s="197">
        <v>0</v>
      </c>
      <c r="G50" s="74">
        <f>IFERROR($F50/Overview!$D$31,0)</f>
        <v>0</v>
      </c>
      <c r="H50" s="89">
        <f>IFERROR($F50/Overview!$D$30,0)</f>
        <v>0</v>
      </c>
      <c r="I50" s="116">
        <f t="shared" si="33"/>
        <v>0</v>
      </c>
      <c r="J50" s="5"/>
      <c r="K50" s="184" t="s">
        <v>197</v>
      </c>
      <c r="L50" s="202"/>
      <c r="M50" s="147"/>
      <c r="N50" s="148"/>
      <c r="O50" s="144"/>
      <c r="P50" s="208">
        <v>0</v>
      </c>
      <c r="Q50" s="74">
        <f>IFERROR($P50/Overview!$D$31,0)</f>
        <v>0</v>
      </c>
      <c r="R50" s="89">
        <f>IFERROR($P50/Overview!$D$30,0)</f>
        <v>0</v>
      </c>
      <c r="S50" s="116">
        <f t="shared" si="25"/>
        <v>0</v>
      </c>
      <c r="T50" s="5"/>
      <c r="U50" s="41" t="s">
        <v>303</v>
      </c>
      <c r="V50" s="44"/>
      <c r="W50" s="42"/>
      <c r="X50" s="80">
        <f>SUM(X46:X49)</f>
        <v>0</v>
      </c>
      <c r="Y50" s="80">
        <f>IFERROR($X50/Overview!$D$31,0)</f>
        <v>0</v>
      </c>
      <c r="Z50" s="79">
        <f>IFERROR($X50/Overview!$D$30,0)</f>
        <v>0</v>
      </c>
      <c r="AA50" s="119">
        <f ca="1">IFERROR($X50/$X$20,0)</f>
        <v>0</v>
      </c>
      <c r="AB50" s="5"/>
      <c r="AC50" s="41" t="str">
        <f t="shared" si="1"/>
        <v>Total Debt Service</v>
      </c>
      <c r="AD50" s="44"/>
      <c r="AE50" s="44"/>
      <c r="AF50" s="43"/>
      <c r="AG50" s="43"/>
      <c r="AH50" s="43"/>
      <c r="AI50" s="80">
        <f t="shared" ref="AI50:AW50" si="34">SUM(AI46:AI49)</f>
        <v>0</v>
      </c>
      <c r="AJ50" s="80">
        <f t="shared" si="34"/>
        <v>0</v>
      </c>
      <c r="AK50" s="80">
        <f t="shared" si="34"/>
        <v>0</v>
      </c>
      <c r="AL50" s="80">
        <f t="shared" si="34"/>
        <v>0</v>
      </c>
      <c r="AM50" s="80">
        <f t="shared" si="34"/>
        <v>0</v>
      </c>
      <c r="AN50" s="80">
        <f t="shared" si="34"/>
        <v>0</v>
      </c>
      <c r="AO50" s="80">
        <f t="shared" si="34"/>
        <v>0</v>
      </c>
      <c r="AP50" s="80">
        <f t="shared" si="34"/>
        <v>0</v>
      </c>
      <c r="AQ50" s="80">
        <f t="shared" si="34"/>
        <v>0</v>
      </c>
      <c r="AR50" s="80">
        <f t="shared" si="34"/>
        <v>0</v>
      </c>
      <c r="AS50" s="80">
        <f t="shared" si="34"/>
        <v>0</v>
      </c>
      <c r="AT50" s="80">
        <f t="shared" si="34"/>
        <v>0</v>
      </c>
      <c r="AU50" s="80">
        <f t="shared" si="34"/>
        <v>0</v>
      </c>
      <c r="AV50" s="80">
        <f t="shared" si="34"/>
        <v>0</v>
      </c>
      <c r="AW50" s="86">
        <f t="shared" si="34"/>
        <v>0</v>
      </c>
    </row>
    <row r="51" spans="2:49" x14ac:dyDescent="0.3">
      <c r="B51" s="36" t="s">
        <v>198</v>
      </c>
      <c r="C51" s="5"/>
      <c r="D51" s="5"/>
      <c r="E51" s="28"/>
      <c r="F51" s="197">
        <v>0</v>
      </c>
      <c r="G51" s="74">
        <f>IFERROR($F51/Overview!$D$31,0)</f>
        <v>0</v>
      </c>
      <c r="H51" s="89">
        <f>IFERROR($F51/Overview!$D$30,0)</f>
        <v>0</v>
      </c>
      <c r="I51" s="116">
        <f t="shared" si="33"/>
        <v>0</v>
      </c>
      <c r="J51" s="5"/>
      <c r="K51" s="184" t="s">
        <v>197</v>
      </c>
      <c r="L51" s="202"/>
      <c r="M51" s="147"/>
      <c r="N51" s="148"/>
      <c r="O51" s="144"/>
      <c r="P51" s="208">
        <v>0</v>
      </c>
      <c r="Q51" s="74">
        <f>IFERROR($P51/Overview!$D$31,0)</f>
        <v>0</v>
      </c>
      <c r="R51" s="89">
        <f>IFERROR($P51/Overview!$D$30,0)</f>
        <v>0</v>
      </c>
      <c r="S51" s="116">
        <f t="shared" si="25"/>
        <v>0</v>
      </c>
      <c r="T51" s="5"/>
      <c r="U51" s="100"/>
      <c r="V51" s="5"/>
      <c r="W51" s="28"/>
      <c r="X51" s="35"/>
      <c r="Y51" s="35"/>
      <c r="Z51" s="89"/>
      <c r="AA51" s="116"/>
      <c r="AB51" s="5"/>
      <c r="AC51" s="100" t="str">
        <f t="shared" si="1"/>
        <v/>
      </c>
      <c r="AD51" s="5"/>
      <c r="AE51" s="5"/>
      <c r="AF51" s="35"/>
      <c r="AG51" s="35"/>
      <c r="AH51" s="35"/>
      <c r="AI51" s="35"/>
      <c r="AJ51" s="35"/>
      <c r="AK51" s="35"/>
      <c r="AL51" s="35"/>
      <c r="AM51" s="35"/>
      <c r="AN51" s="35"/>
      <c r="AO51" s="35"/>
      <c r="AP51" s="35"/>
      <c r="AQ51" s="35"/>
      <c r="AR51" s="35"/>
      <c r="AS51" s="35"/>
      <c r="AT51" s="35"/>
      <c r="AU51" s="35"/>
      <c r="AV51" s="35"/>
      <c r="AW51" s="29"/>
    </row>
    <row r="52" spans="2:49" ht="14.4" thickBot="1" x14ac:dyDescent="0.35">
      <c r="B52" s="36" t="s">
        <v>199</v>
      </c>
      <c r="C52" s="5"/>
      <c r="D52" s="5"/>
      <c r="E52" s="28"/>
      <c r="F52" s="197">
        <v>0</v>
      </c>
      <c r="G52" s="74">
        <f>IFERROR($F52/Overview!$D$31,0)</f>
        <v>0</v>
      </c>
      <c r="H52" s="89">
        <f>IFERROR($F52/Overview!$D$30,0)</f>
        <v>0</v>
      </c>
      <c r="I52" s="116">
        <f t="shared" si="33"/>
        <v>0</v>
      </c>
      <c r="J52" s="5"/>
      <c r="K52" s="41" t="s">
        <v>67</v>
      </c>
      <c r="L52" s="44"/>
      <c r="M52" s="149"/>
      <c r="N52" s="150"/>
      <c r="O52" s="151"/>
      <c r="P52" s="94">
        <f>SUM(P37:P51)</f>
        <v>0</v>
      </c>
      <c r="Q52" s="80">
        <f>IFERROR($P52/Overview!$D$31,0)</f>
        <v>0</v>
      </c>
      <c r="R52" s="79">
        <f>IFERROR($P52/Overview!$D$30,0)</f>
        <v>0</v>
      </c>
      <c r="S52" s="119">
        <f t="shared" si="25"/>
        <v>0</v>
      </c>
      <c r="T52" s="5"/>
      <c r="U52" s="155" t="s">
        <v>304</v>
      </c>
      <c r="V52" s="153"/>
      <c r="W52" s="156"/>
      <c r="X52" s="158">
        <f ca="1">IFERROR(X42-X50,0)</f>
        <v>0</v>
      </c>
      <c r="Y52" s="158">
        <f ca="1">IFERROR($X52/Overview!$D$31,0)</f>
        <v>0</v>
      </c>
      <c r="Z52" s="159">
        <f ca="1">IFERROR($X52/Overview!$D$30,0)</f>
        <v>0</v>
      </c>
      <c r="AA52" s="157">
        <f ca="1">IFERROR($X52/$X$20,0)</f>
        <v>0</v>
      </c>
      <c r="AB52" s="5"/>
      <c r="AC52" s="155" t="str">
        <f t="shared" si="1"/>
        <v>Cash Flow After Debt Service</v>
      </c>
      <c r="AD52" s="153"/>
      <c r="AE52" s="153"/>
      <c r="AF52" s="231"/>
      <c r="AG52" s="231"/>
      <c r="AH52" s="231"/>
      <c r="AI52" s="158">
        <f t="shared" ref="AI52:AW52" ca="1" si="35">AI42-AI50</f>
        <v>0</v>
      </c>
      <c r="AJ52" s="158">
        <f t="shared" ca="1" si="35"/>
        <v>0</v>
      </c>
      <c r="AK52" s="158">
        <f t="shared" ca="1" si="35"/>
        <v>0</v>
      </c>
      <c r="AL52" s="158">
        <f t="shared" ca="1" si="35"/>
        <v>0</v>
      </c>
      <c r="AM52" s="158">
        <f t="shared" ca="1" si="35"/>
        <v>0</v>
      </c>
      <c r="AN52" s="158">
        <f t="shared" ca="1" si="35"/>
        <v>0</v>
      </c>
      <c r="AO52" s="158">
        <f t="shared" ca="1" si="35"/>
        <v>0</v>
      </c>
      <c r="AP52" s="158">
        <f t="shared" ca="1" si="35"/>
        <v>0</v>
      </c>
      <c r="AQ52" s="158">
        <f t="shared" ca="1" si="35"/>
        <v>0</v>
      </c>
      <c r="AR52" s="158">
        <f t="shared" ca="1" si="35"/>
        <v>0</v>
      </c>
      <c r="AS52" s="158">
        <f t="shared" ca="1" si="35"/>
        <v>0</v>
      </c>
      <c r="AT52" s="158">
        <f t="shared" ca="1" si="35"/>
        <v>0</v>
      </c>
      <c r="AU52" s="158">
        <f t="shared" ca="1" si="35"/>
        <v>0</v>
      </c>
      <c r="AV52" s="158">
        <f t="shared" ca="1" si="35"/>
        <v>0</v>
      </c>
      <c r="AW52" s="232">
        <f t="shared" ca="1" si="35"/>
        <v>0</v>
      </c>
    </row>
    <row r="53" spans="2:49" ht="14.4" thickTop="1" x14ac:dyDescent="0.3">
      <c r="B53" s="36" t="s">
        <v>200</v>
      </c>
      <c r="C53" s="5"/>
      <c r="D53" s="5"/>
      <c r="E53" s="28"/>
      <c r="F53" s="197">
        <v>0</v>
      </c>
      <c r="G53" s="74">
        <f>IFERROR($F53/Overview!$D$31,0)</f>
        <v>0</v>
      </c>
      <c r="H53" s="89">
        <f>IFERROR($F53/Overview!$D$30,0)</f>
        <v>0</v>
      </c>
      <c r="I53" s="116">
        <f t="shared" si="33"/>
        <v>0</v>
      </c>
      <c r="J53" s="5"/>
      <c r="K53" s="100"/>
      <c r="L53" s="5"/>
      <c r="M53" s="147"/>
      <c r="N53" s="148"/>
      <c r="O53" s="144"/>
      <c r="P53" s="93" t="b">
        <f>P52=$P$58</f>
        <v>1</v>
      </c>
      <c r="Q53" s="74"/>
      <c r="R53" s="89"/>
      <c r="S53" s="116"/>
      <c r="T53" s="5"/>
      <c r="U53" s="212"/>
      <c r="V53" s="213"/>
      <c r="W53" s="214"/>
      <c r="X53" s="215"/>
      <c r="Y53" s="215"/>
      <c r="Z53" s="215"/>
      <c r="AA53" s="216"/>
      <c r="AB53" s="5"/>
      <c r="AC53" s="100" t="str">
        <f t="shared" si="1"/>
        <v/>
      </c>
      <c r="AD53" s="5"/>
      <c r="AE53" s="5"/>
      <c r="AF53" s="35"/>
      <c r="AG53" s="35"/>
      <c r="AH53" s="35"/>
      <c r="AI53" s="35"/>
      <c r="AJ53" s="35"/>
      <c r="AK53" s="35"/>
      <c r="AL53" s="35"/>
      <c r="AM53" s="35"/>
      <c r="AN53" s="35"/>
      <c r="AO53" s="35"/>
      <c r="AP53" s="35"/>
      <c r="AQ53" s="35"/>
      <c r="AR53" s="35"/>
      <c r="AS53" s="35"/>
      <c r="AT53" s="35"/>
      <c r="AU53" s="35"/>
      <c r="AV53" s="35"/>
      <c r="AW53" s="29"/>
    </row>
    <row r="54" spans="2:49" x14ac:dyDescent="0.3">
      <c r="B54" s="36" t="s">
        <v>201</v>
      </c>
      <c r="C54" s="5"/>
      <c r="D54" s="5"/>
      <c r="E54" s="28"/>
      <c r="F54" s="197">
        <v>0</v>
      </c>
      <c r="G54" s="74">
        <f>IFERROR($F54/Overview!$D$31,0)</f>
        <v>0</v>
      </c>
      <c r="H54" s="89">
        <f>IFERROR($F54/Overview!$D$30,0)</f>
        <v>0</v>
      </c>
      <c r="I54" s="116">
        <f t="shared" si="33"/>
        <v>0</v>
      </c>
      <c r="J54" s="5"/>
      <c r="K54" s="45" t="s">
        <v>69</v>
      </c>
      <c r="L54" s="46"/>
      <c r="M54" s="135"/>
      <c r="N54" s="129"/>
      <c r="O54" s="136"/>
      <c r="P54" s="139"/>
      <c r="Q54" s="109"/>
      <c r="R54" s="104"/>
      <c r="S54" s="118"/>
      <c r="T54" s="5"/>
      <c r="U54" s="45" t="s">
        <v>305</v>
      </c>
      <c r="V54" s="46"/>
      <c r="W54" s="47"/>
      <c r="X54" s="109"/>
      <c r="Y54" s="109"/>
      <c r="Z54" s="104"/>
      <c r="AA54" s="118"/>
      <c r="AB54" s="5"/>
      <c r="AC54" s="45" t="str">
        <f t="shared" si="1"/>
        <v>Return Metrics</v>
      </c>
      <c r="AD54" s="46"/>
      <c r="AE54" s="46"/>
      <c r="AF54" s="234" t="s">
        <v>306</v>
      </c>
      <c r="AG54" s="234"/>
      <c r="AH54" s="234"/>
      <c r="AI54" s="48"/>
      <c r="AJ54" s="48"/>
      <c r="AK54" s="48"/>
      <c r="AL54" s="48"/>
      <c r="AM54" s="48"/>
      <c r="AN54" s="48"/>
      <c r="AO54" s="48"/>
      <c r="AP54" s="48"/>
      <c r="AQ54" s="48"/>
      <c r="AR54" s="48"/>
      <c r="AS54" s="48"/>
      <c r="AT54" s="48"/>
      <c r="AU54" s="48"/>
      <c r="AV54" s="48"/>
      <c r="AW54" s="49"/>
    </row>
    <row r="55" spans="2:49" x14ac:dyDescent="0.3">
      <c r="B55" s="201" t="s">
        <v>202</v>
      </c>
      <c r="C55" s="202"/>
      <c r="D55" s="202"/>
      <c r="E55" s="185"/>
      <c r="F55" s="197">
        <v>0</v>
      </c>
      <c r="G55" s="74">
        <f>IFERROR($F55/Overview!$D$31,0)</f>
        <v>0</v>
      </c>
      <c r="H55" s="89">
        <f>IFERROR($F55/Overview!$D$30,0)</f>
        <v>0</v>
      </c>
      <c r="I55" s="116">
        <f t="shared" si="33"/>
        <v>0</v>
      </c>
      <c r="J55" s="5"/>
      <c r="K55" s="492" t="s">
        <v>203</v>
      </c>
      <c r="L55" s="5"/>
      <c r="M55" s="147"/>
      <c r="N55" s="148"/>
      <c r="O55" s="144"/>
      <c r="P55" s="180">
        <f>$F$20</f>
        <v>0</v>
      </c>
      <c r="Q55" s="74">
        <f>IFERROR($P55/Overview!$D$31,0)</f>
        <v>0</v>
      </c>
      <c r="R55" s="89">
        <f>IFERROR($P55/Overview!$D$30,0)</f>
        <v>0</v>
      </c>
      <c r="S55" s="116">
        <f>IFERROR($P55/$P$58,0)</f>
        <v>0</v>
      </c>
      <c r="T55" s="5"/>
      <c r="U55" s="492" t="s">
        <v>307</v>
      </c>
      <c r="V55" s="5"/>
      <c r="W55" s="28"/>
      <c r="X55" s="219" t="str">
        <f ca="1">IFERROR($X$42/$P$58,"NA")</f>
        <v>NA</v>
      </c>
      <c r="Y55" s="74"/>
      <c r="Z55" s="89"/>
      <c r="AA55" s="116"/>
      <c r="AB55" s="5"/>
      <c r="AC55" s="492" t="s">
        <v>307</v>
      </c>
      <c r="AD55" s="5"/>
      <c r="AE55" s="5"/>
      <c r="AF55" s="222">
        <f ca="1">IFERROR(AVERAGE(AH55:AV55),0)</f>
        <v>0</v>
      </c>
      <c r="AG55" s="222"/>
      <c r="AH55" s="222"/>
      <c r="AI55" s="222" t="str">
        <f t="shared" ref="AI55:AW55" ca="1" si="36">IFERROR(AI$42/$P$58,"NA")</f>
        <v>NA</v>
      </c>
      <c r="AJ55" s="222" t="str">
        <f t="shared" ca="1" si="36"/>
        <v>NA</v>
      </c>
      <c r="AK55" s="222" t="str">
        <f t="shared" ca="1" si="36"/>
        <v>NA</v>
      </c>
      <c r="AL55" s="222" t="str">
        <f t="shared" ca="1" si="36"/>
        <v>NA</v>
      </c>
      <c r="AM55" s="222" t="str">
        <f t="shared" ca="1" si="36"/>
        <v>NA</v>
      </c>
      <c r="AN55" s="222" t="str">
        <f t="shared" ca="1" si="36"/>
        <v>NA</v>
      </c>
      <c r="AO55" s="222" t="str">
        <f t="shared" ca="1" si="36"/>
        <v>NA</v>
      </c>
      <c r="AP55" s="222" t="str">
        <f t="shared" ca="1" si="36"/>
        <v>NA</v>
      </c>
      <c r="AQ55" s="222" t="str">
        <f t="shared" ca="1" si="36"/>
        <v>NA</v>
      </c>
      <c r="AR55" s="222" t="str">
        <f t="shared" ca="1" si="36"/>
        <v>NA</v>
      </c>
      <c r="AS55" s="222" t="str">
        <f t="shared" ca="1" si="36"/>
        <v>NA</v>
      </c>
      <c r="AT55" s="222" t="str">
        <f t="shared" ca="1" si="36"/>
        <v>NA</v>
      </c>
      <c r="AU55" s="222" t="str">
        <f t="shared" ca="1" si="36"/>
        <v>NA</v>
      </c>
      <c r="AV55" s="222" t="str">
        <f t="shared" ca="1" si="36"/>
        <v>NA</v>
      </c>
      <c r="AW55" s="218" t="str">
        <f t="shared" ca="1" si="36"/>
        <v>NA</v>
      </c>
    </row>
    <row r="56" spans="2:49" x14ac:dyDescent="0.3">
      <c r="B56" s="53" t="s">
        <v>204</v>
      </c>
      <c r="C56" s="44"/>
      <c r="D56" s="44"/>
      <c r="E56" s="42"/>
      <c r="F56" s="80">
        <f>SUM(F49:F55)</f>
        <v>0</v>
      </c>
      <c r="G56" s="80">
        <f>IFERROR($F56/Overview!$D$31,0)</f>
        <v>0</v>
      </c>
      <c r="H56" s="79">
        <f>IFERROR($F56/Overview!$D$30,0)</f>
        <v>0</v>
      </c>
      <c r="I56" s="119">
        <f t="shared" si="33"/>
        <v>0</v>
      </c>
      <c r="J56" s="5"/>
      <c r="K56" s="492" t="s">
        <v>72</v>
      </c>
      <c r="L56" s="5"/>
      <c r="M56" s="147"/>
      <c r="N56" s="148"/>
      <c r="O56" s="144"/>
      <c r="P56" s="180">
        <f>$F$45</f>
        <v>0</v>
      </c>
      <c r="Q56" s="74">
        <f>IFERROR($P56/Overview!$D$31,0)</f>
        <v>0</v>
      </c>
      <c r="R56" s="89">
        <f>IFERROR($P56/Overview!$D$30,0)</f>
        <v>0</v>
      </c>
      <c r="S56" s="116">
        <f>IFERROR($P56/$P$58,0)</f>
        <v>0</v>
      </c>
      <c r="T56" s="5"/>
      <c r="U56" s="492" t="s">
        <v>308</v>
      </c>
      <c r="V56" s="5"/>
      <c r="W56" s="28"/>
      <c r="X56" s="219" t="str">
        <f ca="1">IFERROR($X$52/SUM($P$29:$P$30),"NA")</f>
        <v>NA</v>
      </c>
      <c r="Y56" s="74"/>
      <c r="Z56" s="89"/>
      <c r="AA56" s="116"/>
      <c r="AB56" s="5"/>
      <c r="AC56" s="492" t="s">
        <v>309</v>
      </c>
      <c r="AD56" s="5"/>
      <c r="AE56" s="5"/>
      <c r="AF56" s="222">
        <f ca="1">IFERROR(AVERAGE(AH56:AV56),0)</f>
        <v>0</v>
      </c>
      <c r="AG56" s="222"/>
      <c r="AH56" s="222"/>
      <c r="AI56" s="162" t="str">
        <f t="shared" ref="AI56:AW56" ca="1" si="37">IFERROR(AI$52/SUM($P$29:$P$30),"NA")</f>
        <v>NA</v>
      </c>
      <c r="AJ56" s="162" t="str">
        <f t="shared" ca="1" si="37"/>
        <v>NA</v>
      </c>
      <c r="AK56" s="162" t="str">
        <f t="shared" ca="1" si="37"/>
        <v>NA</v>
      </c>
      <c r="AL56" s="162" t="str">
        <f t="shared" ca="1" si="37"/>
        <v>NA</v>
      </c>
      <c r="AM56" s="162" t="str">
        <f t="shared" ca="1" si="37"/>
        <v>NA</v>
      </c>
      <c r="AN56" s="162" t="str">
        <f t="shared" ca="1" si="37"/>
        <v>NA</v>
      </c>
      <c r="AO56" s="162" t="str">
        <f t="shared" ca="1" si="37"/>
        <v>NA</v>
      </c>
      <c r="AP56" s="162" t="str">
        <f t="shared" ca="1" si="37"/>
        <v>NA</v>
      </c>
      <c r="AQ56" s="162" t="str">
        <f t="shared" ca="1" si="37"/>
        <v>NA</v>
      </c>
      <c r="AR56" s="162" t="str">
        <f t="shared" ca="1" si="37"/>
        <v>NA</v>
      </c>
      <c r="AS56" s="162" t="str">
        <f t="shared" ca="1" si="37"/>
        <v>NA</v>
      </c>
      <c r="AT56" s="162" t="str">
        <f t="shared" ca="1" si="37"/>
        <v>NA</v>
      </c>
      <c r="AU56" s="162" t="str">
        <f t="shared" ca="1" si="37"/>
        <v>NA</v>
      </c>
      <c r="AV56" s="162" t="str">
        <f t="shared" ca="1" si="37"/>
        <v>NA</v>
      </c>
      <c r="AW56" s="233" t="str">
        <f t="shared" ca="1" si="37"/>
        <v>NA</v>
      </c>
    </row>
    <row r="57" spans="2:49" x14ac:dyDescent="0.3">
      <c r="B57" s="492"/>
      <c r="C57" s="5"/>
      <c r="D57" s="5"/>
      <c r="E57" s="28"/>
      <c r="F57" s="74"/>
      <c r="G57" s="74"/>
      <c r="H57" s="89"/>
      <c r="I57" s="116"/>
      <c r="J57" s="5"/>
      <c r="K57" s="492" t="s">
        <v>73</v>
      </c>
      <c r="L57" s="5"/>
      <c r="M57" s="147"/>
      <c r="N57" s="148"/>
      <c r="O57" s="144"/>
      <c r="P57" s="180">
        <f>$F$115</f>
        <v>0</v>
      </c>
      <c r="Q57" s="74">
        <f>IFERROR($P57/Overview!$D$31,0)</f>
        <v>0</v>
      </c>
      <c r="R57" s="89">
        <f>IFERROR($P57/Overview!$D$30,0)</f>
        <v>0</v>
      </c>
      <c r="S57" s="116">
        <f>IFERROR($P57/$P$58,0)</f>
        <v>0</v>
      </c>
      <c r="T57" s="5"/>
      <c r="U57" s="492" t="s">
        <v>310</v>
      </c>
      <c r="V57" s="5"/>
      <c r="W57" s="28"/>
      <c r="X57" s="219" t="str">
        <f>IFERROR($X$50/SUM($P$37:$P$40),"NA")</f>
        <v>NA</v>
      </c>
      <c r="Y57" s="74"/>
      <c r="Z57" s="89"/>
      <c r="AA57" s="116"/>
      <c r="AB57" s="5"/>
      <c r="AC57" s="492" t="s">
        <v>310</v>
      </c>
      <c r="AD57" s="5"/>
      <c r="AE57" s="5"/>
      <c r="AF57" s="222">
        <f>IFERROR(AVERAGE(AH57:AV57),0)</f>
        <v>0</v>
      </c>
      <c r="AG57" s="222"/>
      <c r="AH57" s="222"/>
      <c r="AI57" s="222" t="str">
        <f t="shared" ref="AI57:AW57" si="38">IFERROR(AI$50/SUM($P$37:$P$40),"NA")</f>
        <v>NA</v>
      </c>
      <c r="AJ57" s="222" t="str">
        <f t="shared" si="38"/>
        <v>NA</v>
      </c>
      <c r="AK57" s="222" t="str">
        <f t="shared" si="38"/>
        <v>NA</v>
      </c>
      <c r="AL57" s="222" t="str">
        <f t="shared" si="38"/>
        <v>NA</v>
      </c>
      <c r="AM57" s="222" t="str">
        <f t="shared" si="38"/>
        <v>NA</v>
      </c>
      <c r="AN57" s="222" t="str">
        <f t="shared" si="38"/>
        <v>NA</v>
      </c>
      <c r="AO57" s="222" t="str">
        <f t="shared" si="38"/>
        <v>NA</v>
      </c>
      <c r="AP57" s="222" t="str">
        <f t="shared" si="38"/>
        <v>NA</v>
      </c>
      <c r="AQ57" s="222" t="str">
        <f t="shared" si="38"/>
        <v>NA</v>
      </c>
      <c r="AR57" s="222" t="str">
        <f t="shared" si="38"/>
        <v>NA</v>
      </c>
      <c r="AS57" s="222" t="str">
        <f t="shared" si="38"/>
        <v>NA</v>
      </c>
      <c r="AT57" s="222" t="str">
        <f t="shared" si="38"/>
        <v>NA</v>
      </c>
      <c r="AU57" s="222" t="str">
        <f t="shared" si="38"/>
        <v>NA</v>
      </c>
      <c r="AV57" s="222" t="str">
        <f t="shared" si="38"/>
        <v>NA</v>
      </c>
      <c r="AW57" s="218" t="str">
        <f t="shared" si="38"/>
        <v>NA</v>
      </c>
    </row>
    <row r="58" spans="2:49" x14ac:dyDescent="0.3">
      <c r="B58" s="54" t="s">
        <v>205</v>
      </c>
      <c r="C58" s="5"/>
      <c r="D58" s="5"/>
      <c r="E58" s="28"/>
      <c r="F58" s="74"/>
      <c r="G58" s="74"/>
      <c r="H58" s="89"/>
      <c r="I58" s="116"/>
      <c r="J58" s="5"/>
      <c r="K58" s="41" t="s">
        <v>74</v>
      </c>
      <c r="L58" s="44"/>
      <c r="M58" s="149"/>
      <c r="N58" s="150"/>
      <c r="O58" s="151"/>
      <c r="P58" s="94">
        <f>SUM(P55:P57)</f>
        <v>0</v>
      </c>
      <c r="Q58" s="80">
        <f>IFERROR($P58/Overview!$D$31,0)</f>
        <v>0</v>
      </c>
      <c r="R58" s="79">
        <f>IFERROR($P58/Overview!$D$30,0)</f>
        <v>0</v>
      </c>
      <c r="S58" s="119">
        <f>IFERROR($P58/$P$58,0)</f>
        <v>0</v>
      </c>
      <c r="T58" s="5"/>
      <c r="U58" s="492"/>
      <c r="V58" s="5"/>
      <c r="W58" s="28"/>
      <c r="X58" s="219"/>
      <c r="Y58" s="74"/>
      <c r="Z58" s="89"/>
      <c r="AA58" s="116"/>
      <c r="AB58" s="5"/>
      <c r="AC58" s="492" t="s">
        <v>301</v>
      </c>
      <c r="AD58" s="5"/>
      <c r="AE58" s="5"/>
      <c r="AF58" s="283">
        <f ca="1">AVERAGE(AI43:AW43)</f>
        <v>0</v>
      </c>
      <c r="AG58" s="222"/>
      <c r="AH58" s="222"/>
      <c r="AI58" s="222"/>
      <c r="AJ58" s="222"/>
      <c r="AK58" s="222"/>
      <c r="AL58" s="222"/>
      <c r="AM58" s="222"/>
      <c r="AN58" s="222"/>
      <c r="AO58" s="222"/>
      <c r="AP58" s="222"/>
      <c r="AQ58" s="222"/>
      <c r="AR58" s="222"/>
      <c r="AS58" s="222"/>
      <c r="AT58" s="222"/>
      <c r="AU58" s="222"/>
      <c r="AV58" s="222"/>
      <c r="AW58" s="218"/>
    </row>
    <row r="59" spans="2:49" x14ac:dyDescent="0.3">
      <c r="B59" s="36" t="s">
        <v>206</v>
      </c>
      <c r="C59" s="5"/>
      <c r="D59" s="5"/>
      <c r="E59" s="28"/>
      <c r="F59" s="197">
        <v>0</v>
      </c>
      <c r="G59" s="74">
        <f>IFERROR($F59/Overview!$D$31,0)</f>
        <v>0</v>
      </c>
      <c r="H59" s="89">
        <f>IFERROR($F59/Overview!$D$30,0)</f>
        <v>0</v>
      </c>
      <c r="I59" s="116">
        <f t="shared" ref="I59:I65" si="39">IFERROR($F59/$F$117,0)</f>
        <v>0</v>
      </c>
      <c r="J59" s="5"/>
      <c r="K59" s="25"/>
      <c r="L59" s="26"/>
      <c r="M59" s="91"/>
      <c r="N59" s="92"/>
      <c r="O59" s="152"/>
      <c r="P59" s="140"/>
      <c r="Q59" s="113"/>
      <c r="R59" s="108"/>
      <c r="S59" s="122"/>
      <c r="T59" s="5"/>
      <c r="U59" s="183"/>
      <c r="V59" s="26"/>
      <c r="W59" s="30"/>
      <c r="X59" s="220"/>
      <c r="Y59" s="113"/>
      <c r="Z59" s="108"/>
      <c r="AA59" s="122"/>
      <c r="AB59" s="5"/>
      <c r="AC59" s="25" t="str">
        <f>IF(U59=0,"",U59)</f>
        <v/>
      </c>
      <c r="AD59" s="26"/>
      <c r="AE59" s="26"/>
      <c r="AF59" s="37"/>
      <c r="AG59" s="37"/>
      <c r="AH59" s="37"/>
      <c r="AI59" s="37"/>
      <c r="AJ59" s="37"/>
      <c r="AK59" s="37"/>
      <c r="AL59" s="37"/>
      <c r="AM59" s="37"/>
      <c r="AN59" s="37"/>
      <c r="AO59" s="37"/>
      <c r="AP59" s="37"/>
      <c r="AQ59" s="37"/>
      <c r="AR59" s="37"/>
      <c r="AS59" s="37"/>
      <c r="AT59" s="37"/>
      <c r="AU59" s="37"/>
      <c r="AV59" s="37"/>
      <c r="AW59" s="31"/>
    </row>
    <row r="60" spans="2:49" x14ac:dyDescent="0.3">
      <c r="B60" s="36" t="s">
        <v>207</v>
      </c>
      <c r="C60" s="5"/>
      <c r="D60" s="5"/>
      <c r="E60" s="28"/>
      <c r="F60" s="197">
        <v>0</v>
      </c>
      <c r="G60" s="74">
        <f>IFERROR($F60/Overview!$D$31,0)</f>
        <v>0</v>
      </c>
      <c r="H60" s="89">
        <f>IFERROR($F60/Overview!$D$30,0)</f>
        <v>0</v>
      </c>
      <c r="I60" s="116">
        <f t="shared" si="39"/>
        <v>0</v>
      </c>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row>
    <row r="61" spans="2:49" x14ac:dyDescent="0.3">
      <c r="B61" s="36" t="s">
        <v>208</v>
      </c>
      <c r="C61" s="5"/>
      <c r="D61" s="5"/>
      <c r="E61" s="28"/>
      <c r="F61" s="197">
        <v>0</v>
      </c>
      <c r="G61" s="74">
        <f>IFERROR($F61/Overview!$D$31,0)</f>
        <v>0</v>
      </c>
      <c r="H61" s="89">
        <f>IFERROR($F61/Overview!$D$30,0)</f>
        <v>0</v>
      </c>
      <c r="I61" s="116">
        <f t="shared" si="39"/>
        <v>0</v>
      </c>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row>
    <row r="62" spans="2:49" x14ac:dyDescent="0.3">
      <c r="B62" s="36" t="s">
        <v>209</v>
      </c>
      <c r="C62" s="5"/>
      <c r="D62" s="5"/>
      <c r="E62" s="28"/>
      <c r="F62" s="197">
        <v>0</v>
      </c>
      <c r="G62" s="74">
        <f>IFERROR($F62/Overview!$D$31,0)</f>
        <v>0</v>
      </c>
      <c r="H62" s="89">
        <f>IFERROR($F62/Overview!$D$30,0)</f>
        <v>0</v>
      </c>
      <c r="I62" s="116">
        <f t="shared" si="39"/>
        <v>0</v>
      </c>
      <c r="J62" s="5"/>
      <c r="K62" s="5"/>
      <c r="L62" s="5"/>
      <c r="M62" s="5"/>
      <c r="N62" s="5"/>
      <c r="O62" s="5"/>
      <c r="P62" s="76" t="s">
        <v>311</v>
      </c>
      <c r="Q62" s="237">
        <v>5</v>
      </c>
      <c r="Y62" s="5"/>
      <c r="Z62" s="5"/>
      <c r="AA62" s="5"/>
      <c r="AB62" s="5"/>
      <c r="AC62" s="5"/>
      <c r="AD62" s="5"/>
      <c r="AE62" s="5"/>
      <c r="AF62" s="5"/>
      <c r="AG62" s="5"/>
      <c r="AH62" s="5"/>
      <c r="AI62" s="5"/>
      <c r="AJ62" s="5"/>
      <c r="AK62" s="5"/>
      <c r="AL62" s="5"/>
      <c r="AM62" s="5"/>
      <c r="AN62" s="5"/>
      <c r="AO62" s="5"/>
      <c r="AP62" s="5"/>
      <c r="AQ62" s="5"/>
      <c r="AR62" s="5"/>
      <c r="AS62" s="5"/>
      <c r="AT62" s="5"/>
      <c r="AU62" s="5"/>
      <c r="AV62" s="5"/>
      <c r="AW62" s="5"/>
    </row>
    <row r="63" spans="2:49" x14ac:dyDescent="0.3">
      <c r="B63" s="36" t="s">
        <v>211</v>
      </c>
      <c r="C63" s="5"/>
      <c r="D63" s="5"/>
      <c r="E63" s="28"/>
      <c r="F63" s="197">
        <v>0</v>
      </c>
      <c r="G63" s="74">
        <f>IFERROR($F63/Overview!$D$31,0)</f>
        <v>0</v>
      </c>
      <c r="H63" s="89">
        <f>IFERROR($F63/Overview!$D$30,0)</f>
        <v>0</v>
      </c>
      <c r="I63" s="116">
        <f t="shared" si="39"/>
        <v>0</v>
      </c>
      <c r="J63" s="5"/>
      <c r="K63" s="5"/>
      <c r="L63" s="5"/>
      <c r="M63" s="5"/>
      <c r="N63" s="5"/>
      <c r="O63" s="5"/>
      <c r="P63" s="5"/>
      <c r="Q63" s="5"/>
      <c r="R63" s="238">
        <v>1</v>
      </c>
      <c r="S63" s="238">
        <v>2</v>
      </c>
      <c r="T63" s="238">
        <v>3</v>
      </c>
      <c r="U63" s="238">
        <v>4</v>
      </c>
      <c r="V63" s="238">
        <v>5</v>
      </c>
      <c r="W63" s="238">
        <v>6</v>
      </c>
      <c r="X63" s="238">
        <v>7</v>
      </c>
      <c r="Y63" s="5"/>
      <c r="Z63" s="5"/>
      <c r="AA63" s="5"/>
      <c r="AB63" s="5"/>
      <c r="AC63" s="5"/>
      <c r="AD63" s="5"/>
      <c r="AE63" s="5"/>
      <c r="AF63" s="5"/>
      <c r="AG63" s="5"/>
      <c r="AH63" s="5"/>
      <c r="AI63" s="5"/>
      <c r="AJ63" s="5"/>
      <c r="AK63" s="5"/>
      <c r="AL63" s="5"/>
      <c r="AM63" s="5"/>
      <c r="AN63" s="5"/>
      <c r="AO63" s="5"/>
      <c r="AP63" s="5"/>
      <c r="AQ63" s="5"/>
      <c r="AR63" s="5"/>
      <c r="AS63" s="5"/>
      <c r="AT63" s="5"/>
      <c r="AU63" s="5"/>
      <c r="AV63" s="5"/>
      <c r="AW63" s="5"/>
    </row>
    <row r="64" spans="2:49" x14ac:dyDescent="0.3">
      <c r="B64" s="201" t="s">
        <v>214</v>
      </c>
      <c r="C64" s="202"/>
      <c r="D64" s="202"/>
      <c r="E64" s="185"/>
      <c r="F64" s="197">
        <v>0</v>
      </c>
      <c r="G64" s="74">
        <f>IFERROR($F64/Overview!$D$31,0)</f>
        <v>0</v>
      </c>
      <c r="H64" s="89">
        <f>IFERROR($F64/Overview!$D$30,0)</f>
        <v>0</v>
      </c>
      <c r="I64" s="116">
        <f t="shared" si="39"/>
        <v>0</v>
      </c>
      <c r="J64" s="5"/>
      <c r="K64" s="32" t="s">
        <v>312</v>
      </c>
      <c r="L64" s="33"/>
      <c r="M64" s="33"/>
      <c r="N64" s="34"/>
      <c r="O64" s="5"/>
      <c r="P64" s="32" t="s">
        <v>313</v>
      </c>
      <c r="Q64" s="33"/>
      <c r="R64" s="33"/>
      <c r="S64" s="33"/>
      <c r="T64" s="33"/>
      <c r="U64" s="33"/>
      <c r="V64" s="33"/>
      <c r="W64" s="33"/>
      <c r="X64" s="34"/>
      <c r="Y64" s="5"/>
      <c r="Z64" s="5"/>
      <c r="AA64" s="5"/>
      <c r="AB64" s="5"/>
      <c r="AC64" s="5"/>
      <c r="AD64" s="5"/>
      <c r="AE64" s="5"/>
      <c r="AF64" s="5"/>
      <c r="AG64" s="5"/>
      <c r="AH64" s="5"/>
      <c r="AI64" s="5"/>
      <c r="AJ64" s="5"/>
      <c r="AK64" s="5"/>
      <c r="AL64" s="5"/>
      <c r="AM64" s="5"/>
      <c r="AN64" s="5"/>
      <c r="AO64" s="5"/>
      <c r="AP64" s="5"/>
      <c r="AQ64" s="5"/>
      <c r="AR64" s="5"/>
      <c r="AS64" s="5"/>
      <c r="AT64" s="5"/>
      <c r="AU64" s="5"/>
      <c r="AV64" s="5"/>
      <c r="AW64" s="5"/>
    </row>
    <row r="65" spans="2:49" x14ac:dyDescent="0.3">
      <c r="B65" s="53" t="s">
        <v>215</v>
      </c>
      <c r="C65" s="44"/>
      <c r="D65" s="44"/>
      <c r="E65" s="42"/>
      <c r="F65" s="80">
        <f>SUM(F59:F64)</f>
        <v>0</v>
      </c>
      <c r="G65" s="80">
        <f>IFERROR($F65/Overview!$D$31,0)</f>
        <v>0</v>
      </c>
      <c r="H65" s="79">
        <f>IFERROR($F65/Overview!$D$30,0)</f>
        <v>0</v>
      </c>
      <c r="I65" s="119">
        <f t="shared" si="39"/>
        <v>0</v>
      </c>
      <c r="J65" s="5"/>
      <c r="K65" s="571" t="s">
        <v>24</v>
      </c>
      <c r="L65" s="625"/>
      <c r="M65" s="572"/>
      <c r="N65" s="556" t="s">
        <v>314</v>
      </c>
      <c r="O65" s="3"/>
      <c r="P65" s="571" t="s">
        <v>24</v>
      </c>
      <c r="Q65" s="625"/>
      <c r="R65" s="556" t="s">
        <v>315</v>
      </c>
      <c r="S65" s="556" t="s">
        <v>316</v>
      </c>
      <c r="T65" s="556" t="s">
        <v>317</v>
      </c>
      <c r="U65" s="556" t="s">
        <v>318</v>
      </c>
      <c r="V65" s="556" t="s">
        <v>319</v>
      </c>
      <c r="W65" s="556" t="s">
        <v>320</v>
      </c>
      <c r="X65" s="556" t="s">
        <v>321</v>
      </c>
      <c r="Y65" s="5"/>
      <c r="Z65" s="5"/>
      <c r="AA65" s="5"/>
      <c r="AB65" s="5"/>
      <c r="AC65" s="5"/>
      <c r="AD65" s="5"/>
      <c r="AE65" s="5"/>
      <c r="AF65" s="5"/>
      <c r="AG65" s="5"/>
      <c r="AH65" s="5"/>
      <c r="AI65" s="5"/>
      <c r="AJ65" s="5"/>
      <c r="AK65" s="5"/>
      <c r="AL65" s="5"/>
      <c r="AM65" s="5"/>
      <c r="AN65" s="5"/>
      <c r="AO65" s="5"/>
      <c r="AP65" s="5"/>
      <c r="AQ65" s="5"/>
      <c r="AR65" s="5"/>
      <c r="AS65" s="5"/>
      <c r="AT65" s="5"/>
      <c r="AU65" s="5"/>
      <c r="AV65" s="5"/>
      <c r="AW65" s="5"/>
    </row>
    <row r="66" spans="2:49" x14ac:dyDescent="0.3">
      <c r="B66" s="492"/>
      <c r="C66" s="5"/>
      <c r="D66" s="5"/>
      <c r="E66" s="28"/>
      <c r="F66" s="74"/>
      <c r="G66" s="74"/>
      <c r="H66" s="89"/>
      <c r="I66" s="116"/>
      <c r="J66" s="5"/>
      <c r="K66" s="610"/>
      <c r="L66" s="626"/>
      <c r="M66" s="611"/>
      <c r="N66" s="557"/>
      <c r="O66" s="3"/>
      <c r="P66" s="610"/>
      <c r="Q66" s="626"/>
      <c r="R66" s="557"/>
      <c r="S66" s="557"/>
      <c r="T66" s="557"/>
      <c r="U66" s="557"/>
      <c r="V66" s="557"/>
      <c r="W66" s="557"/>
      <c r="X66" s="557"/>
      <c r="Y66" s="5"/>
      <c r="Z66" s="5"/>
      <c r="AA66" s="5"/>
      <c r="AB66" s="5"/>
      <c r="AC66" s="5"/>
      <c r="AD66" s="5"/>
      <c r="AE66" s="5"/>
      <c r="AF66" s="5"/>
      <c r="AG66" s="5"/>
      <c r="AH66" s="5"/>
      <c r="AI66" s="5"/>
      <c r="AJ66" s="5"/>
      <c r="AK66" s="5"/>
      <c r="AL66" s="5"/>
      <c r="AM66" s="5"/>
      <c r="AN66" s="5"/>
      <c r="AO66" s="5"/>
      <c r="AP66" s="5"/>
      <c r="AQ66" s="5"/>
      <c r="AR66" s="5"/>
      <c r="AS66" s="5"/>
      <c r="AT66" s="5"/>
      <c r="AU66" s="5"/>
      <c r="AV66" s="5"/>
      <c r="AW66" s="5"/>
    </row>
    <row r="67" spans="2:49" x14ac:dyDescent="0.3">
      <c r="B67" s="54" t="s">
        <v>217</v>
      </c>
      <c r="C67" s="5"/>
      <c r="D67" s="5"/>
      <c r="E67" s="28"/>
      <c r="F67" s="74"/>
      <c r="G67" s="74"/>
      <c r="H67" s="89"/>
      <c r="I67" s="116"/>
      <c r="J67" s="5"/>
      <c r="K67" s="623"/>
      <c r="L67" s="627"/>
      <c r="M67" s="624"/>
      <c r="N67" s="558"/>
      <c r="O67" s="3"/>
      <c r="P67" s="623"/>
      <c r="Q67" s="627"/>
      <c r="R67" s="558"/>
      <c r="S67" s="558"/>
      <c r="T67" s="558"/>
      <c r="U67" s="558"/>
      <c r="V67" s="558"/>
      <c r="W67" s="558"/>
      <c r="X67" s="558"/>
      <c r="Y67" s="5"/>
      <c r="Z67" s="5"/>
      <c r="AA67" s="5"/>
      <c r="AB67" s="5"/>
      <c r="AC67" s="5"/>
      <c r="AD67" s="5"/>
      <c r="AE67" s="5"/>
      <c r="AF67" s="5"/>
      <c r="AG67" s="5"/>
      <c r="AH67" s="5"/>
      <c r="AI67" s="5"/>
      <c r="AJ67" s="5"/>
      <c r="AK67" s="5"/>
      <c r="AL67" s="5"/>
      <c r="AM67" s="5"/>
      <c r="AN67" s="5"/>
      <c r="AO67" s="5"/>
      <c r="AP67" s="5"/>
      <c r="AQ67" s="5"/>
      <c r="AR67" s="5"/>
      <c r="AS67" s="5"/>
      <c r="AT67" s="5"/>
      <c r="AU67" s="5"/>
      <c r="AV67" s="5"/>
      <c r="AW67" s="5"/>
    </row>
    <row r="68" spans="2:49" x14ac:dyDescent="0.3">
      <c r="B68" s="36" t="s">
        <v>219</v>
      </c>
      <c r="C68" s="5"/>
      <c r="D68" s="5"/>
      <c r="E68" s="28"/>
      <c r="F68" s="197">
        <v>0</v>
      </c>
      <c r="G68" s="74">
        <f>IFERROR($F68/Overview!$D$31,0)</f>
        <v>0</v>
      </c>
      <c r="H68" s="89">
        <f>IFERROR($F68/Overview!$D$30,0)</f>
        <v>0</v>
      </c>
      <c r="I68" s="116">
        <f>IFERROR($F68/$F$117,0)</f>
        <v>0</v>
      </c>
      <c r="J68" s="5"/>
      <c r="K68" s="23" t="s">
        <v>322</v>
      </c>
      <c r="L68" s="24"/>
      <c r="M68" s="628"/>
      <c r="N68" s="629"/>
      <c r="O68" s="5"/>
      <c r="P68" s="131" t="s">
        <v>323</v>
      </c>
      <c r="Q68" s="125"/>
      <c r="R68" s="127"/>
      <c r="S68" s="127"/>
      <c r="T68" s="127"/>
      <c r="U68" s="127"/>
      <c r="V68" s="127"/>
      <c r="W68" s="269"/>
      <c r="X68" s="128"/>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2:49" x14ac:dyDescent="0.3">
      <c r="B69" s="201" t="s">
        <v>221</v>
      </c>
      <c r="C69" s="202"/>
      <c r="D69" s="202"/>
      <c r="E69" s="185"/>
      <c r="F69" s="197">
        <v>0</v>
      </c>
      <c r="G69" s="74">
        <f>IFERROR($F69/Overview!$D$31,0)</f>
        <v>0</v>
      </c>
      <c r="H69" s="89">
        <f>IFERROR($F69/Overview!$D$30,0)</f>
        <v>0</v>
      </c>
      <c r="I69" s="116">
        <f>IFERROR($F69/$F$117,0)</f>
        <v>0</v>
      </c>
      <c r="J69" s="5"/>
      <c r="K69" s="100"/>
      <c r="L69" s="5"/>
      <c r="M69" s="630"/>
      <c r="N69" s="631"/>
      <c r="O69" s="5"/>
      <c r="P69" s="492" t="s">
        <v>324</v>
      </c>
      <c r="Q69" s="28"/>
      <c r="R69" s="130" t="s">
        <v>85</v>
      </c>
      <c r="S69" s="130" t="s">
        <v>141</v>
      </c>
      <c r="T69" s="186" t="s">
        <v>141</v>
      </c>
      <c r="U69" s="186" t="s">
        <v>141</v>
      </c>
      <c r="V69" s="186" t="s">
        <v>141</v>
      </c>
      <c r="W69" s="494" t="s">
        <v>141</v>
      </c>
      <c r="X69" s="191" t="s">
        <v>141</v>
      </c>
      <c r="Y69" s="5"/>
      <c r="Z69" s="5"/>
      <c r="AA69" s="5"/>
      <c r="AB69" s="5"/>
      <c r="AC69" s="5"/>
      <c r="AD69" s="5"/>
      <c r="AE69" s="5"/>
      <c r="AF69" s="5"/>
      <c r="AG69" s="5"/>
      <c r="AH69" s="5"/>
      <c r="AI69" s="5"/>
      <c r="AJ69" s="5"/>
      <c r="AK69" s="5"/>
      <c r="AL69" s="5"/>
      <c r="AM69" s="5"/>
      <c r="AN69" s="5"/>
      <c r="AO69" s="5"/>
      <c r="AP69" s="5"/>
      <c r="AQ69" s="5"/>
      <c r="AR69" s="5"/>
      <c r="AS69" s="5"/>
      <c r="AT69" s="5"/>
      <c r="AU69" s="5"/>
      <c r="AV69" s="5"/>
      <c r="AW69" s="5"/>
    </row>
    <row r="70" spans="2:49" x14ac:dyDescent="0.3">
      <c r="B70" s="53" t="s">
        <v>225</v>
      </c>
      <c r="C70" s="44"/>
      <c r="D70" s="44"/>
      <c r="E70" s="42"/>
      <c r="F70" s="80">
        <f>SUM(F68:F69)</f>
        <v>0</v>
      </c>
      <c r="G70" s="80">
        <f>IFERROR($F70/Overview!$D$31,0)</f>
        <v>0</v>
      </c>
      <c r="H70" s="79">
        <f>IFERROR($F70/Overview!$D$30,0)</f>
        <v>0</v>
      </c>
      <c r="I70" s="119">
        <f>IFERROR($F70/$F$117,0)</f>
        <v>0</v>
      </c>
      <c r="J70" s="5"/>
      <c r="K70" s="101" t="s">
        <v>325</v>
      </c>
      <c r="L70" s="98"/>
      <c r="M70" s="632"/>
      <c r="N70" s="633"/>
      <c r="O70" s="5"/>
      <c r="P70" s="492" t="s">
        <v>326</v>
      </c>
      <c r="Q70" s="28"/>
      <c r="R70" s="161" t="s">
        <v>139</v>
      </c>
      <c r="S70" s="161" t="s">
        <v>139</v>
      </c>
      <c r="T70" s="161" t="s">
        <v>139</v>
      </c>
      <c r="U70" s="186" t="s">
        <v>139</v>
      </c>
      <c r="V70" s="130" t="e">
        <f>IF(Overview!$D$12="Long Term Vacant Rehab","Vacant",INDEX(List!$M$5:$M$9,MATCH(Overview!$D$17,List!$L$5:$L$9,0)))</f>
        <v>#N/A</v>
      </c>
      <c r="W70" s="273" t="e">
        <f>IF(Overview!$D$12="Long Term Vacant Rehab","Vacant",INDEX(List!$M$5:$M$9,MATCH(Overview!$D$17,List!$L$5:$L$9,0)))</f>
        <v>#N/A</v>
      </c>
      <c r="X70" s="64" t="e">
        <f>IF(Overview!$D$12="Long Term Vacant Rehab","Vacant",INDEX(List!$M$5:$M$9,MATCH(Overview!$D$17,List!$L$5:$L$9,0)))</f>
        <v>#N/A</v>
      </c>
      <c r="Y70" s="5"/>
      <c r="Z70" s="5"/>
      <c r="AA70" s="5"/>
      <c r="AB70" s="5"/>
      <c r="AC70" s="5"/>
      <c r="AD70" s="5"/>
      <c r="AE70" s="5"/>
      <c r="AF70" s="5"/>
      <c r="AG70" s="5"/>
      <c r="AH70" s="5"/>
      <c r="AI70" s="5"/>
      <c r="AJ70" s="5"/>
      <c r="AK70" s="5"/>
      <c r="AL70" s="5"/>
      <c r="AM70" s="5"/>
      <c r="AN70" s="5"/>
      <c r="AO70" s="5"/>
      <c r="AP70" s="5"/>
      <c r="AQ70" s="5"/>
      <c r="AR70" s="5"/>
      <c r="AS70" s="5"/>
      <c r="AT70" s="5"/>
      <c r="AU70" s="5"/>
      <c r="AV70" s="5"/>
      <c r="AW70" s="5"/>
    </row>
    <row r="71" spans="2:49" x14ac:dyDescent="0.3">
      <c r="B71" s="492"/>
      <c r="C71" s="5"/>
      <c r="D71" s="5"/>
      <c r="E71" s="28"/>
      <c r="F71" s="74"/>
      <c r="G71" s="74"/>
      <c r="H71" s="89"/>
      <c r="I71" s="116"/>
      <c r="J71" s="5"/>
      <c r="K71" s="100"/>
      <c r="L71" s="5"/>
      <c r="M71" s="634"/>
      <c r="N71" s="635"/>
      <c r="O71" s="5"/>
      <c r="P71" s="492" t="s">
        <v>327</v>
      </c>
      <c r="Q71" s="28"/>
      <c r="R71" s="161" t="s">
        <v>139</v>
      </c>
      <c r="S71" s="161" t="s">
        <v>139</v>
      </c>
      <c r="T71" s="161" t="s">
        <v>139</v>
      </c>
      <c r="U71" s="161" t="s">
        <v>139</v>
      </c>
      <c r="V71" s="162">
        <f>X71</f>
        <v>0.08</v>
      </c>
      <c r="W71" s="279">
        <f>X71</f>
        <v>0.08</v>
      </c>
      <c r="X71" s="198">
        <v>0.08</v>
      </c>
      <c r="Y71" s="5"/>
      <c r="Z71" s="5"/>
      <c r="AA71" s="5"/>
      <c r="AB71" s="5"/>
      <c r="AC71" s="5"/>
      <c r="AD71" s="5"/>
      <c r="AE71" s="5"/>
      <c r="AF71" s="5"/>
      <c r="AG71" s="5"/>
      <c r="AH71" s="5"/>
      <c r="AI71" s="5"/>
      <c r="AJ71" s="5"/>
      <c r="AK71" s="5"/>
      <c r="AL71" s="5"/>
      <c r="AM71" s="5"/>
      <c r="AN71" s="5"/>
      <c r="AO71" s="5"/>
      <c r="AP71" s="5"/>
      <c r="AQ71" s="5"/>
      <c r="AR71" s="5"/>
      <c r="AS71" s="5"/>
      <c r="AT71" s="5"/>
      <c r="AU71" s="5"/>
      <c r="AV71" s="5"/>
      <c r="AW71" s="5"/>
    </row>
    <row r="72" spans="2:49" x14ac:dyDescent="0.3">
      <c r="B72" s="54" t="s">
        <v>227</v>
      </c>
      <c r="C72" s="5"/>
      <c r="D72" s="5"/>
      <c r="E72" s="28"/>
      <c r="F72" s="74"/>
      <c r="G72" s="74"/>
      <c r="H72" s="89"/>
      <c r="I72" s="116"/>
      <c r="J72" s="5"/>
      <c r="K72" s="102"/>
      <c r="L72" s="98"/>
      <c r="M72" s="99"/>
      <c r="N72" s="103"/>
      <c r="O72" s="5"/>
      <c r="P72" s="492" t="s">
        <v>226</v>
      </c>
      <c r="Q72" s="28"/>
      <c r="R72" s="161" t="s">
        <v>139</v>
      </c>
      <c r="S72" s="161" t="s">
        <v>139</v>
      </c>
      <c r="T72" s="161" t="s">
        <v>139</v>
      </c>
      <c r="U72" s="161" t="s">
        <v>139</v>
      </c>
      <c r="V72" s="130" t="s">
        <v>212</v>
      </c>
      <c r="W72" s="273" t="s">
        <v>328</v>
      </c>
      <c r="X72" s="64" t="s">
        <v>329</v>
      </c>
      <c r="Y72" s="5"/>
      <c r="Z72" s="5"/>
      <c r="AA72" s="5"/>
      <c r="AB72" s="5"/>
      <c r="AC72" s="5"/>
      <c r="AD72" s="5"/>
      <c r="AE72" s="5"/>
      <c r="AF72" s="5"/>
      <c r="AG72" s="5"/>
      <c r="AH72" s="5"/>
      <c r="AI72" s="5"/>
      <c r="AJ72" s="5"/>
      <c r="AK72" s="5"/>
      <c r="AL72" s="5"/>
      <c r="AM72" s="5"/>
      <c r="AN72" s="5"/>
      <c r="AO72" s="5"/>
      <c r="AP72" s="5"/>
      <c r="AQ72" s="5"/>
      <c r="AR72" s="5"/>
      <c r="AS72" s="5"/>
      <c r="AT72" s="5"/>
      <c r="AU72" s="5"/>
      <c r="AV72" s="5"/>
      <c r="AW72" s="5"/>
    </row>
    <row r="73" spans="2:49" x14ac:dyDescent="0.3">
      <c r="B73" s="36" t="s">
        <v>229</v>
      </c>
      <c r="C73" s="5"/>
      <c r="D73" s="5"/>
      <c r="E73" s="28"/>
      <c r="F73" s="197">
        <v>0</v>
      </c>
      <c r="G73" s="74">
        <f>IFERROR($F73/Overview!$D$31,0)</f>
        <v>0</v>
      </c>
      <c r="H73" s="89">
        <f>IFERROR($F73/Overview!$D$30,0)</f>
        <v>0</v>
      </c>
      <c r="I73" s="116">
        <f t="shared" ref="I73:I82" si="40">IFERROR($F73/$F$117,0)</f>
        <v>0</v>
      </c>
      <c r="J73" s="5"/>
      <c r="K73" s="492" t="s">
        <v>330</v>
      </c>
      <c r="L73" s="5"/>
      <c r="M73" s="35"/>
      <c r="N73" s="217"/>
      <c r="O73" s="5"/>
      <c r="P73" s="492" t="s">
        <v>331</v>
      </c>
      <c r="Q73" s="28"/>
      <c r="R73" s="161" t="s">
        <v>139</v>
      </c>
      <c r="S73" s="161" t="s">
        <v>139</v>
      </c>
      <c r="T73" s="161" t="s">
        <v>139</v>
      </c>
      <c r="U73" s="161" t="s">
        <v>139</v>
      </c>
      <c r="V73" s="222" t="str">
        <f ca="1">IFERROR(SUMIFS(INDIRECT(_xlfn.CONCAT("'Data - Reference'!",ADDRESS(41,MATCH(V$70,'Data - Reference'!40:40,0),1),":",ADDRESS(51,MATCH(V$70,'Data - Reference'!40:40,0),1))),'Data - Reference'!$L$41:$L$51,ROUNDUP('Unit Summary - Rent Roll'!$K$327,1)),"NA")</f>
        <v>NA</v>
      </c>
      <c r="W73" s="274" t="str">
        <f ca="1">IFERROR(SUMIFS(INDIRECT(_xlfn.CONCAT("'Data - Reference'!",ADDRESS(41,MATCH(W$70,'Data - Reference'!40:40,0),1),":",ADDRESS(51,MATCH(W$70,'Data - Reference'!40:40,0),1))),'Data - Reference'!$L$41:$L$51,ROUNDUP('Unit Summary - Rent Roll'!$K$327,1)),"NA")</f>
        <v>NA</v>
      </c>
      <c r="X73" s="218" t="str">
        <f ca="1">IFERROR(SUMIFS(INDIRECT(_xlfn.CONCAT("'Data - Reference'!",ADDRESS(41,MATCH(X$70,'Data - Reference'!40:40,0),1),":",ADDRESS(51,MATCH(X$70,'Data - Reference'!40:40,0),1))),'Data - Reference'!$L$41:$L$51,ROUNDUP('Unit Summary - Rent Roll'!$K$327,1)),"NA")</f>
        <v>NA</v>
      </c>
      <c r="Y73" s="5"/>
      <c r="Z73" s="5"/>
      <c r="AA73" s="5"/>
      <c r="AB73" s="5"/>
      <c r="AC73" s="5"/>
      <c r="AD73" s="5"/>
      <c r="AE73" s="5"/>
      <c r="AF73" s="5"/>
      <c r="AG73" s="5"/>
      <c r="AH73" s="5"/>
      <c r="AI73" s="5"/>
      <c r="AJ73" s="5"/>
      <c r="AK73" s="5"/>
      <c r="AL73" s="5"/>
      <c r="AM73" s="5"/>
      <c r="AN73" s="5"/>
      <c r="AO73" s="5"/>
      <c r="AP73" s="5"/>
      <c r="AQ73" s="5"/>
      <c r="AR73" s="5"/>
      <c r="AS73" s="5"/>
      <c r="AT73" s="5"/>
      <c r="AU73" s="5"/>
      <c r="AV73" s="5"/>
      <c r="AW73" s="5"/>
    </row>
    <row r="74" spans="2:49" x14ac:dyDescent="0.3">
      <c r="B74" s="36" t="s">
        <v>231</v>
      </c>
      <c r="C74" s="5"/>
      <c r="D74" s="5"/>
      <c r="E74" s="28"/>
      <c r="F74" s="197">
        <v>0</v>
      </c>
      <c r="G74" s="74">
        <f>IFERROR($F74/Overview!$D$31,0)</f>
        <v>0</v>
      </c>
      <c r="H74" s="89">
        <f>IFERROR($F74/Overview!$D$30,0)</f>
        <v>0</v>
      </c>
      <c r="I74" s="116">
        <f t="shared" si="40"/>
        <v>0</v>
      </c>
      <c r="J74" s="5"/>
      <c r="K74" s="492" t="s">
        <v>332</v>
      </c>
      <c r="L74" s="5"/>
      <c r="M74" s="35"/>
      <c r="N74" s="194"/>
      <c r="O74" s="5"/>
      <c r="P74" s="100"/>
      <c r="Q74" s="28"/>
      <c r="R74" s="35"/>
      <c r="S74" s="35"/>
      <c r="T74" s="35"/>
      <c r="U74" s="35"/>
      <c r="V74" s="35"/>
      <c r="W74" s="271"/>
      <c r="X74" s="29"/>
      <c r="Y74" s="5"/>
      <c r="Z74" s="5"/>
      <c r="AA74" s="5"/>
      <c r="AB74" s="5"/>
      <c r="AC74" s="5"/>
      <c r="AD74" s="5"/>
      <c r="AE74" s="5"/>
      <c r="AF74" s="5"/>
      <c r="AG74" s="5"/>
      <c r="AH74" s="5"/>
      <c r="AI74" s="5"/>
      <c r="AJ74" s="5"/>
      <c r="AK74" s="5"/>
      <c r="AL74" s="5"/>
      <c r="AM74" s="5"/>
      <c r="AN74" s="5"/>
      <c r="AO74" s="5"/>
      <c r="AP74" s="5"/>
      <c r="AQ74" s="5"/>
      <c r="AR74" s="5"/>
      <c r="AS74" s="5"/>
      <c r="AT74" s="5"/>
      <c r="AU74" s="5"/>
      <c r="AV74" s="5"/>
      <c r="AW74" s="5"/>
    </row>
    <row r="75" spans="2:49" x14ac:dyDescent="0.3">
      <c r="B75" s="36" t="s">
        <v>233</v>
      </c>
      <c r="C75" s="5"/>
      <c r="D75" s="5"/>
      <c r="E75" s="28"/>
      <c r="F75" s="197">
        <v>0</v>
      </c>
      <c r="G75" s="74">
        <f>IFERROR($F75/Overview!$D$31,0)</f>
        <v>0</v>
      </c>
      <c r="H75" s="89">
        <f>IFERROR($F75/Overview!$D$30,0)</f>
        <v>0</v>
      </c>
      <c r="I75" s="116">
        <f t="shared" si="40"/>
        <v>0</v>
      </c>
      <c r="J75" s="5"/>
      <c r="K75" s="492" t="s">
        <v>333</v>
      </c>
      <c r="L75" s="5"/>
      <c r="M75" s="35"/>
      <c r="N75" s="194"/>
      <c r="O75" s="5"/>
      <c r="P75" s="45" t="s">
        <v>237</v>
      </c>
      <c r="Q75" s="47"/>
      <c r="R75" s="48"/>
      <c r="S75" s="48"/>
      <c r="T75" s="48"/>
      <c r="U75" s="48"/>
      <c r="V75" s="48"/>
      <c r="W75" s="272"/>
      <c r="X75" s="49"/>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2:49" x14ac:dyDescent="0.3">
      <c r="B76" s="36" t="s">
        <v>235</v>
      </c>
      <c r="C76" s="5"/>
      <c r="D76" s="5"/>
      <c r="E76" s="28"/>
      <c r="F76" s="197">
        <v>0</v>
      </c>
      <c r="G76" s="74">
        <f>IFERROR($F76/Overview!$D$31,0)</f>
        <v>0</v>
      </c>
      <c r="H76" s="89">
        <f>IFERROR($F76/Overview!$D$30,0)</f>
        <v>0</v>
      </c>
      <c r="I76" s="116">
        <f t="shared" si="40"/>
        <v>0</v>
      </c>
      <c r="J76" s="5"/>
      <c r="K76" s="36"/>
      <c r="L76" s="5"/>
      <c r="M76" s="35"/>
      <c r="N76" s="66"/>
      <c r="O76" s="5"/>
      <c r="P76" s="492" t="s">
        <v>334</v>
      </c>
      <c r="Q76" s="28"/>
      <c r="R76" s="197">
        <v>0</v>
      </c>
      <c r="S76" s="74">
        <f ca="1">$N$78*('Data - Reference'!$U$58/1000)</f>
        <v>0</v>
      </c>
      <c r="T76" s="74">
        <f ca="1">IF(T$69="Y",$N$80*('Data - Reference'!$U$58/1000),SUM($N$80-$N$78,$N$79)*('Data - Reference'!$U$58/1000))</f>
        <v>0</v>
      </c>
      <c r="U76" s="74">
        <f ca="1">IF(U$69="N",$N$79*('Data - Reference'!$U$58/1000),
IF(OR($U$70="PA-210",$U$70="OPRA",$U$70="OPRA +",$U$70="NEZ-R"),SUM($N$77*0.5,$N$79*(($N$78-($N$77*0.5))/$N$78))*('Data - Reference'!$U$58/1000),
$N$78*('Data - Reference'!$U$58/1000)))</f>
        <v>0</v>
      </c>
      <c r="V76" s="74">
        <f ca="1">IFERROR(IF(V$69="Y",$N$80*('Data - Reference'!$U$58/1000)*(SUM(Overview!$D$39,Overview!$D$37)/SUM(Overview!$D$36,Overview!$D$39)),SUM($N$80-$N$78,$N$79)*('Data - Reference'!$U$58/1000)*(SUM(Overview!$D$39,Overview!$D$37)/SUM(Overview!$D$36,Overview!$D$39))),0)</f>
        <v>0</v>
      </c>
      <c r="W76" s="275">
        <f ca="1">IFERROR(IF(W$69="Y",$N$80*('Data - Reference'!$U$58/1000)*(SUM(Overview!$D$39,Overview!$D$37)/SUM(Overview!$D$36,Overview!$D$39)),SUM($N$80-$N$78,$N$79)*('Data - Reference'!$U$58/1000)*(SUM(Overview!$D$39,Overview!$D$37)/SUM(Overview!$D$36,Overview!$D$39))),0)</f>
        <v>0</v>
      </c>
      <c r="X76" s="85">
        <f ca="1">IFERROR(IF(X$69="Y",$N$80*('Data - Reference'!$U$58/1000)*(SUM(Overview!$D$39,Overview!$D$37)/SUM(Overview!$D$36,Overview!$D$39)),SUM($N$80-$N$78,$N$79)*('Data - Reference'!$U$58/1000)*(SUM(Overview!$D$39,Overview!$D$37)/SUM(Overview!$D$36,Overview!$D$39))),0)</f>
        <v>0</v>
      </c>
      <c r="Y76" s="5"/>
      <c r="Z76" s="5"/>
      <c r="AA76" s="5"/>
      <c r="AB76" s="5"/>
      <c r="AC76" s="5"/>
      <c r="AD76" s="5"/>
      <c r="AE76" s="5"/>
      <c r="AF76" s="5"/>
      <c r="AG76" s="5"/>
      <c r="AH76" s="5"/>
      <c r="AI76" s="5"/>
      <c r="AJ76" s="5"/>
      <c r="AK76" s="5"/>
      <c r="AL76" s="5"/>
      <c r="AM76" s="5"/>
      <c r="AN76" s="5"/>
      <c r="AO76" s="5"/>
      <c r="AP76" s="5"/>
      <c r="AQ76" s="5"/>
      <c r="AR76" s="5"/>
      <c r="AS76" s="5"/>
      <c r="AT76" s="5"/>
      <c r="AU76" s="5"/>
      <c r="AV76" s="5"/>
      <c r="AW76" s="5"/>
    </row>
    <row r="77" spans="2:49" x14ac:dyDescent="0.3">
      <c r="B77" s="36" t="s">
        <v>236</v>
      </c>
      <c r="C77" s="5"/>
      <c r="D77" s="5"/>
      <c r="E77" s="28"/>
      <c r="F77" s="197">
        <v>0</v>
      </c>
      <c r="G77" s="74">
        <f>IFERROR($F77/Overview!$D$31,0)</f>
        <v>0</v>
      </c>
      <c r="H77" s="89">
        <f>IFERROR($F77/Overview!$D$30,0)</f>
        <v>0</v>
      </c>
      <c r="I77" s="116">
        <f t="shared" si="40"/>
        <v>0</v>
      </c>
      <c r="J77" s="5"/>
      <c r="K77" s="492" t="s">
        <v>335</v>
      </c>
      <c r="L77" s="5"/>
      <c r="M77" s="35"/>
      <c r="N77" s="196"/>
      <c r="O77" s="5"/>
      <c r="P77" s="492" t="s">
        <v>336</v>
      </c>
      <c r="Q77" s="28"/>
      <c r="R77" s="197">
        <v>0</v>
      </c>
      <c r="S77" s="74">
        <v>0</v>
      </c>
      <c r="T77" s="74">
        <v>0</v>
      </c>
      <c r="U77" s="74">
        <f>IFERROR(($N$80-$N$78)*(INDEX('Data - Reference'!$V$58:$Z$58,MATCH(U$70,'Data - Reference'!$V$40:$Z$40,0))/1000),0)</f>
        <v>0</v>
      </c>
      <c r="V77" s="74">
        <v>0</v>
      </c>
      <c r="W77" s="275">
        <v>0</v>
      </c>
      <c r="X77" s="85">
        <v>0</v>
      </c>
      <c r="Y77" s="5"/>
      <c r="Z77" s="5"/>
      <c r="AA77" s="5"/>
      <c r="AB77" s="5"/>
      <c r="AC77" s="5"/>
      <c r="AD77" s="5"/>
      <c r="AE77" s="5"/>
      <c r="AF77" s="5"/>
      <c r="AG77" s="5"/>
      <c r="AH77" s="5"/>
      <c r="AI77" s="5"/>
      <c r="AJ77" s="5"/>
      <c r="AK77" s="5"/>
      <c r="AL77" s="5"/>
      <c r="AM77" s="5"/>
      <c r="AN77" s="5"/>
      <c r="AO77" s="5"/>
      <c r="AP77" s="5"/>
      <c r="AQ77" s="5"/>
      <c r="AR77" s="5"/>
      <c r="AS77" s="5"/>
      <c r="AT77" s="5"/>
      <c r="AU77" s="5"/>
      <c r="AV77" s="5"/>
      <c r="AW77" s="5"/>
    </row>
    <row r="78" spans="2:49" x14ac:dyDescent="0.3">
      <c r="B78" s="36" t="s">
        <v>238</v>
      </c>
      <c r="C78" s="5"/>
      <c r="D78" s="5"/>
      <c r="E78" s="28"/>
      <c r="F78" s="197">
        <v>0</v>
      </c>
      <c r="G78" s="74">
        <f>IFERROR($F78/Overview!$D$31,0)</f>
        <v>0</v>
      </c>
      <c r="H78" s="89">
        <f>IFERROR($F78/Overview!$D$30,0)</f>
        <v>0</v>
      </c>
      <c r="I78" s="116">
        <f t="shared" si="40"/>
        <v>0</v>
      </c>
      <c r="J78" s="5"/>
      <c r="K78" s="492" t="s">
        <v>337</v>
      </c>
      <c r="L78" s="5"/>
      <c r="M78" s="35"/>
      <c r="N78" s="196"/>
      <c r="O78" s="5"/>
      <c r="P78" s="492" t="s">
        <v>239</v>
      </c>
      <c r="Q78" s="28"/>
      <c r="R78" s="197">
        <v>0</v>
      </c>
      <c r="S78" s="74">
        <v>0</v>
      </c>
      <c r="T78" s="74">
        <v>0</v>
      </c>
      <c r="U78" s="74">
        <v>0</v>
      </c>
      <c r="V78" s="74">
        <f ca="1">IFERROR(V73*(X17-X23-X25-X26-X27),0)</f>
        <v>0</v>
      </c>
      <c r="W78" s="275">
        <f ca="1">IFERROR(W73*('Unit Summary - Rent Roll'!AB327-'Financials- SWHP'!X25-'Financials- SWHP'!X26-'Financials- SWHP'!X27),0)</f>
        <v>0</v>
      </c>
      <c r="X78" s="85">
        <f ca="1">IFERROR(X73*'Unit Summary - Rent Roll'!AB327,0)</f>
        <v>0</v>
      </c>
      <c r="Y78" s="5"/>
      <c r="Z78" s="5"/>
      <c r="AA78" s="5"/>
      <c r="AB78" s="5"/>
      <c r="AC78" s="5"/>
      <c r="AD78" s="5"/>
      <c r="AE78" s="5"/>
      <c r="AF78" s="5"/>
      <c r="AG78" s="5"/>
      <c r="AH78" s="5"/>
      <c r="AI78" s="5"/>
      <c r="AJ78" s="5"/>
      <c r="AK78" s="5"/>
      <c r="AL78" s="5"/>
      <c r="AM78" s="5"/>
      <c r="AN78" s="5"/>
      <c r="AO78" s="5"/>
      <c r="AP78" s="5"/>
      <c r="AQ78" s="5"/>
      <c r="AR78" s="5"/>
      <c r="AS78" s="5"/>
      <c r="AT78" s="5"/>
      <c r="AU78" s="5"/>
      <c r="AV78" s="5"/>
      <c r="AW78" s="5"/>
    </row>
    <row r="79" spans="2:49" x14ac:dyDescent="0.3">
      <c r="B79" s="36" t="s">
        <v>240</v>
      </c>
      <c r="C79" s="5"/>
      <c r="D79" s="5"/>
      <c r="E79" s="28"/>
      <c r="F79" s="197">
        <v>0</v>
      </c>
      <c r="G79" s="74">
        <f>IFERROR($F79/Overview!$D$31,0)</f>
        <v>0</v>
      </c>
      <c r="H79" s="89">
        <f>IFERROR($F79/Overview!$D$30,0)</f>
        <v>0</v>
      </c>
      <c r="I79" s="116">
        <f t="shared" si="40"/>
        <v>0</v>
      </c>
      <c r="J79" s="5"/>
      <c r="K79" s="492" t="s">
        <v>338</v>
      </c>
      <c r="L79" s="5"/>
      <c r="M79" s="35"/>
      <c r="N79" s="196"/>
      <c r="O79" s="5"/>
      <c r="P79" s="41" t="s">
        <v>339</v>
      </c>
      <c r="Q79" s="42"/>
      <c r="R79" s="80">
        <f>SUM(R76:R78)</f>
        <v>0</v>
      </c>
      <c r="S79" s="80">
        <f ca="1">SUM(S76:S78)</f>
        <v>0</v>
      </c>
      <c r="T79" s="80">
        <f ca="1">SUM(T76:T78)</f>
        <v>0</v>
      </c>
      <c r="U79" s="80">
        <f ca="1">SUM(U76:U78)</f>
        <v>0</v>
      </c>
      <c r="V79" s="80">
        <f ca="1">IFERROR(SUM(V76:V78),0)</f>
        <v>0</v>
      </c>
      <c r="W79" s="270">
        <f ca="1">IFERROR(SUM(W76:W78),0)</f>
        <v>0</v>
      </c>
      <c r="X79" s="86">
        <f ca="1">IFERROR(SUM(X76:X78),0)</f>
        <v>0</v>
      </c>
      <c r="Y79" s="5"/>
      <c r="Z79" s="5"/>
      <c r="AA79" s="5"/>
      <c r="AB79" s="5"/>
      <c r="AC79" s="5"/>
      <c r="AD79" s="5"/>
      <c r="AE79" s="5"/>
      <c r="AF79" s="5"/>
      <c r="AG79" s="5"/>
      <c r="AH79" s="5"/>
      <c r="AI79" s="5"/>
      <c r="AJ79" s="5"/>
      <c r="AK79" s="5"/>
      <c r="AL79" s="5"/>
      <c r="AM79" s="5"/>
      <c r="AN79" s="5"/>
      <c r="AO79" s="5"/>
      <c r="AP79" s="5"/>
      <c r="AQ79" s="5"/>
      <c r="AR79" s="5"/>
      <c r="AS79" s="5"/>
      <c r="AT79" s="5"/>
      <c r="AU79" s="5"/>
      <c r="AV79" s="5"/>
      <c r="AW79" s="5"/>
    </row>
    <row r="80" spans="2:49" x14ac:dyDescent="0.3">
      <c r="B80" s="36" t="s">
        <v>242</v>
      </c>
      <c r="C80" s="5"/>
      <c r="D80" s="5"/>
      <c r="E80" s="28"/>
      <c r="F80" s="197">
        <v>0</v>
      </c>
      <c r="G80" s="74">
        <f>IFERROR($F80/Overview!$D$31,0)</f>
        <v>0</v>
      </c>
      <c r="H80" s="89">
        <f>IFERROR($F80/Overview!$D$30,0)</f>
        <v>0</v>
      </c>
      <c r="I80" s="116">
        <f t="shared" si="40"/>
        <v>0</v>
      </c>
      <c r="J80" s="5"/>
      <c r="K80" s="492" t="s">
        <v>340</v>
      </c>
      <c r="L80" s="5"/>
      <c r="M80" s="195"/>
      <c r="N80" s="85">
        <f>MAX(($M$80*SUM($N$74:$N$75))+($N$77*0.5))</f>
        <v>0</v>
      </c>
      <c r="O80" s="5"/>
      <c r="P80" s="163" t="s">
        <v>241</v>
      </c>
      <c r="Q80" s="38"/>
      <c r="R80" s="173">
        <f>IFERROR(R$79/Overview!$D$31,0)</f>
        <v>0</v>
      </c>
      <c r="S80" s="173">
        <f ca="1">IFERROR(S$79/Overview!$D$31,0)</f>
        <v>0</v>
      </c>
      <c r="T80" s="173">
        <f ca="1">IFERROR(T$79/Overview!$D$31,0)</f>
        <v>0</v>
      </c>
      <c r="U80" s="173">
        <f ca="1">IFERROR(U$79/Overview!$D$31,0)</f>
        <v>0</v>
      </c>
      <c r="V80" s="173">
        <f ca="1">IFERROR(V$79/Overview!$D$31,0)</f>
        <v>0</v>
      </c>
      <c r="W80" s="276">
        <f ca="1">IFERROR(W$79/Overview!$D$31,0)</f>
        <v>0</v>
      </c>
      <c r="X80" s="174">
        <f ca="1">IFERROR(X$79/Overview!$D$31,0)</f>
        <v>0</v>
      </c>
      <c r="Y80" s="5"/>
      <c r="Z80" s="5"/>
      <c r="AA80" s="5"/>
      <c r="AB80" s="5"/>
      <c r="AC80" s="5"/>
      <c r="AD80" s="5"/>
      <c r="AE80" s="5"/>
      <c r="AF80" s="5"/>
      <c r="AG80" s="5"/>
      <c r="AH80" s="5"/>
      <c r="AI80" s="5"/>
      <c r="AJ80" s="5"/>
      <c r="AK80" s="5"/>
      <c r="AL80" s="5"/>
      <c r="AM80" s="5"/>
      <c r="AN80" s="5"/>
      <c r="AO80" s="5"/>
      <c r="AP80" s="5"/>
      <c r="AQ80" s="5"/>
      <c r="AR80" s="5"/>
      <c r="AS80" s="5"/>
      <c r="AT80" s="5"/>
      <c r="AU80" s="5"/>
      <c r="AV80" s="5"/>
      <c r="AW80" s="5"/>
    </row>
    <row r="81" spans="2:49" x14ac:dyDescent="0.3">
      <c r="B81" s="201" t="s">
        <v>243</v>
      </c>
      <c r="C81" s="202"/>
      <c r="D81" s="202"/>
      <c r="E81" s="185"/>
      <c r="F81" s="197">
        <v>0</v>
      </c>
      <c r="G81" s="74">
        <f>IFERROR($F81/Overview!$D$31,0)</f>
        <v>0</v>
      </c>
      <c r="H81" s="89">
        <f>IFERROR($F81/Overview!$D$30,0)</f>
        <v>0</v>
      </c>
      <c r="I81" s="116">
        <f t="shared" si="40"/>
        <v>0</v>
      </c>
      <c r="J81" s="5"/>
      <c r="K81" s="25"/>
      <c r="L81" s="26"/>
      <c r="M81" s="37"/>
      <c r="N81" s="31"/>
      <c r="O81" s="5"/>
      <c r="P81" s="176"/>
      <c r="Q81" s="177"/>
      <c r="R81" s="178"/>
      <c r="S81" s="178"/>
      <c r="T81" s="178"/>
      <c r="U81" s="178"/>
      <c r="V81" s="178"/>
      <c r="W81" s="277"/>
      <c r="X81" s="179"/>
      <c r="Y81" s="5"/>
      <c r="Z81" s="5"/>
      <c r="AA81" s="5"/>
      <c r="AB81" s="5"/>
      <c r="AC81" s="5"/>
      <c r="AD81" s="5"/>
      <c r="AE81" s="5"/>
      <c r="AF81" s="5"/>
      <c r="AG81" s="5"/>
      <c r="AH81" s="5"/>
      <c r="AI81" s="5"/>
      <c r="AJ81" s="5"/>
      <c r="AK81" s="5"/>
      <c r="AL81" s="5"/>
      <c r="AM81" s="5"/>
      <c r="AN81" s="5"/>
      <c r="AO81" s="5"/>
      <c r="AP81" s="5"/>
      <c r="AQ81" s="5"/>
      <c r="AR81" s="5"/>
      <c r="AS81" s="5"/>
      <c r="AT81" s="5"/>
      <c r="AU81" s="5"/>
      <c r="AV81" s="5"/>
      <c r="AW81" s="5"/>
    </row>
    <row r="82" spans="2:49" x14ac:dyDescent="0.3">
      <c r="B82" s="53" t="s">
        <v>244</v>
      </c>
      <c r="C82" s="44"/>
      <c r="D82" s="44"/>
      <c r="E82" s="42"/>
      <c r="F82" s="80">
        <f>SUM(F73:F81)</f>
        <v>0</v>
      </c>
      <c r="G82" s="80">
        <f>IFERROR($F82/Overview!$D$31,0)</f>
        <v>0</v>
      </c>
      <c r="H82" s="79">
        <f>IFERROR($F82/Overview!$D$30,0)</f>
        <v>0</v>
      </c>
      <c r="I82" s="119">
        <f t="shared" si="40"/>
        <v>0</v>
      </c>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row>
    <row r="83" spans="2:49" x14ac:dyDescent="0.3">
      <c r="B83" s="252"/>
      <c r="C83" s="55"/>
      <c r="D83" s="55"/>
      <c r="E83" s="56"/>
      <c r="F83" s="111"/>
      <c r="G83" s="111"/>
      <c r="H83" s="106"/>
      <c r="I83" s="120"/>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row>
    <row r="84" spans="2:49" x14ac:dyDescent="0.3">
      <c r="B84" s="54" t="s">
        <v>245</v>
      </c>
      <c r="C84" s="5"/>
      <c r="D84" s="5"/>
      <c r="E84" s="28"/>
      <c r="F84" s="74"/>
      <c r="G84" s="74"/>
      <c r="H84" s="89"/>
      <c r="I84" s="116"/>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row>
    <row r="85" spans="2:49" x14ac:dyDescent="0.3">
      <c r="B85" s="36" t="s">
        <v>246</v>
      </c>
      <c r="C85" s="5"/>
      <c r="D85" s="5"/>
      <c r="E85" s="28"/>
      <c r="F85" s="197">
        <v>0</v>
      </c>
      <c r="G85" s="74">
        <f>IFERROR($F85/Overview!$D$31,0)</f>
        <v>0</v>
      </c>
      <c r="H85" s="89">
        <f>IFERROR($F85/Overview!$D$30,0)</f>
        <v>0</v>
      </c>
      <c r="I85" s="116">
        <f t="shared" ref="I85:I92" si="41">IFERROR($F85/$F$117,0)</f>
        <v>0</v>
      </c>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row>
    <row r="86" spans="2:49" x14ac:dyDescent="0.3">
      <c r="B86" s="36" t="s">
        <v>247</v>
      </c>
      <c r="C86" s="5"/>
      <c r="D86" s="5"/>
      <c r="E86" s="28"/>
      <c r="F86" s="197">
        <v>0</v>
      </c>
      <c r="G86" s="74">
        <f>IFERROR($F86/Overview!$D$31,0)</f>
        <v>0</v>
      </c>
      <c r="H86" s="89">
        <f>IFERROR($F86/Overview!$D$30,0)</f>
        <v>0</v>
      </c>
      <c r="I86" s="116">
        <f t="shared" si="41"/>
        <v>0</v>
      </c>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2:49" x14ac:dyDescent="0.3">
      <c r="B87" s="36" t="s">
        <v>248</v>
      </c>
      <c r="C87" s="5"/>
      <c r="D87" s="5"/>
      <c r="E87" s="28"/>
      <c r="F87" s="197">
        <v>0</v>
      </c>
      <c r="G87" s="74">
        <f>IFERROR($F87/Overview!$D$31,0)</f>
        <v>0</v>
      </c>
      <c r="H87" s="89">
        <f>IFERROR($F87/Overview!$D$30,0)</f>
        <v>0</v>
      </c>
      <c r="I87" s="116">
        <f t="shared" si="41"/>
        <v>0</v>
      </c>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row>
    <row r="88" spans="2:49" x14ac:dyDescent="0.3">
      <c r="B88" s="36" t="s">
        <v>249</v>
      </c>
      <c r="C88" s="5"/>
      <c r="D88" s="5"/>
      <c r="E88" s="28"/>
      <c r="F88" s="197">
        <v>0</v>
      </c>
      <c r="G88" s="74">
        <f>IFERROR($F88/Overview!$D$31,0)</f>
        <v>0</v>
      </c>
      <c r="H88" s="89">
        <f>IFERROR($F88/Overview!$D$30,0)</f>
        <v>0</v>
      </c>
      <c r="I88" s="116">
        <f t="shared" si="41"/>
        <v>0</v>
      </c>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row>
    <row r="89" spans="2:49" x14ac:dyDescent="0.3">
      <c r="B89" s="36" t="s">
        <v>250</v>
      </c>
      <c r="C89" s="5"/>
      <c r="D89" s="5"/>
      <c r="E89" s="28"/>
      <c r="F89" s="197">
        <v>0</v>
      </c>
      <c r="G89" s="74">
        <f>IFERROR($F89/Overview!$D$31,0)</f>
        <v>0</v>
      </c>
      <c r="H89" s="89">
        <f>IFERROR($F89/Overview!$D$30,0)</f>
        <v>0</v>
      </c>
      <c r="I89" s="116">
        <f t="shared" si="41"/>
        <v>0</v>
      </c>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row>
    <row r="90" spans="2:49" x14ac:dyDescent="0.3">
      <c r="B90" s="36" t="s">
        <v>251</v>
      </c>
      <c r="C90" s="5"/>
      <c r="D90" s="5"/>
      <c r="E90" s="28"/>
      <c r="F90" s="197">
        <v>0</v>
      </c>
      <c r="G90" s="74">
        <f>IFERROR($F90/Overview!$D$31,0)</f>
        <v>0</v>
      </c>
      <c r="H90" s="89">
        <f>IFERROR($F90/Overview!$D$30,0)</f>
        <v>0</v>
      </c>
      <c r="I90" s="116">
        <f t="shared" si="41"/>
        <v>0</v>
      </c>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row>
    <row r="91" spans="2:49" x14ac:dyDescent="0.3">
      <c r="B91" s="201" t="s">
        <v>243</v>
      </c>
      <c r="C91" s="202"/>
      <c r="D91" s="202"/>
      <c r="E91" s="185"/>
      <c r="F91" s="197">
        <v>0</v>
      </c>
      <c r="G91" s="74">
        <f>IFERROR($F91/Overview!$D$31,0)</f>
        <v>0</v>
      </c>
      <c r="H91" s="89">
        <f>IFERROR($F91/Overview!$D$30,0)</f>
        <v>0</v>
      </c>
      <c r="I91" s="116">
        <f t="shared" si="41"/>
        <v>0</v>
      </c>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row>
    <row r="92" spans="2:49" x14ac:dyDescent="0.3">
      <c r="B92" s="53" t="s">
        <v>252</v>
      </c>
      <c r="C92" s="44"/>
      <c r="D92" s="44"/>
      <c r="E92" s="42"/>
      <c r="F92" s="80">
        <f>SUM(F85:F91)</f>
        <v>0</v>
      </c>
      <c r="G92" s="80">
        <f>IFERROR($F92/Overview!$D$31,0)</f>
        <v>0</v>
      </c>
      <c r="H92" s="79">
        <f>IFERROR($F92/Overview!$D$30,0)</f>
        <v>0</v>
      </c>
      <c r="I92" s="119">
        <f t="shared" si="41"/>
        <v>0</v>
      </c>
    </row>
    <row r="93" spans="2:49" x14ac:dyDescent="0.3">
      <c r="B93" s="252"/>
      <c r="C93" s="55"/>
      <c r="D93" s="55"/>
      <c r="E93" s="56"/>
      <c r="F93" s="111"/>
      <c r="G93" s="111"/>
      <c r="H93" s="106"/>
      <c r="I93" s="120"/>
    </row>
    <row r="94" spans="2:49" x14ac:dyDescent="0.3">
      <c r="B94" s="54" t="s">
        <v>253</v>
      </c>
      <c r="C94" s="5"/>
      <c r="D94" s="5"/>
      <c r="E94" s="28"/>
      <c r="F94" s="74"/>
      <c r="G94" s="74"/>
      <c r="H94" s="89"/>
      <c r="I94" s="116"/>
    </row>
    <row r="95" spans="2:49" x14ac:dyDescent="0.3">
      <c r="B95" s="36" t="s">
        <v>254</v>
      </c>
      <c r="C95" s="5"/>
      <c r="D95" s="5"/>
      <c r="E95" s="28"/>
      <c r="F95" s="197">
        <v>0</v>
      </c>
      <c r="G95" s="74">
        <f>IFERROR($F95/Overview!$D$31,0)</f>
        <v>0</v>
      </c>
      <c r="H95" s="89">
        <f>IFERROR($F95/Overview!$D$30,0)</f>
        <v>0</v>
      </c>
      <c r="I95" s="116">
        <f t="shared" ref="I95:I104" si="42">IFERROR($F95/$F$117,0)</f>
        <v>0</v>
      </c>
    </row>
    <row r="96" spans="2:49" x14ac:dyDescent="0.3">
      <c r="B96" s="36" t="s">
        <v>255</v>
      </c>
      <c r="C96" s="5"/>
      <c r="D96" s="5"/>
      <c r="E96" s="28"/>
      <c r="F96" s="197">
        <v>0</v>
      </c>
      <c r="G96" s="74">
        <f>IFERROR($F96/Overview!$D$31,0)</f>
        <v>0</v>
      </c>
      <c r="H96" s="89">
        <f>IFERROR($F96/Overview!$D$30,0)</f>
        <v>0</v>
      </c>
      <c r="I96" s="116">
        <f t="shared" si="42"/>
        <v>0</v>
      </c>
    </row>
    <row r="97" spans="2:9" x14ac:dyDescent="0.3">
      <c r="B97" s="36" t="s">
        <v>256</v>
      </c>
      <c r="C97" s="5"/>
      <c r="D97" s="5"/>
      <c r="E97" s="28"/>
      <c r="F97" s="197">
        <v>0</v>
      </c>
      <c r="G97" s="74">
        <f>IFERROR($F97/Overview!$D$31,0)</f>
        <v>0</v>
      </c>
      <c r="H97" s="89">
        <f>IFERROR($F97/Overview!$D$30,0)</f>
        <v>0</v>
      </c>
      <c r="I97" s="116">
        <f t="shared" si="42"/>
        <v>0</v>
      </c>
    </row>
    <row r="98" spans="2:9" x14ac:dyDescent="0.3">
      <c r="B98" s="36" t="s">
        <v>257</v>
      </c>
      <c r="C98" s="5"/>
      <c r="D98" s="5"/>
      <c r="E98" s="28"/>
      <c r="F98" s="197">
        <v>0</v>
      </c>
      <c r="G98" s="74">
        <f>IFERROR($F98/Overview!$D$31,0)</f>
        <v>0</v>
      </c>
      <c r="H98" s="89">
        <f>IFERROR($F98/Overview!$D$30,0)</f>
        <v>0</v>
      </c>
      <c r="I98" s="116">
        <f t="shared" si="42"/>
        <v>0</v>
      </c>
    </row>
    <row r="99" spans="2:9" x14ac:dyDescent="0.3">
      <c r="B99" s="36" t="s">
        <v>258</v>
      </c>
      <c r="C99" s="5"/>
      <c r="D99" s="5"/>
      <c r="E99" s="28"/>
      <c r="F99" s="197">
        <v>0</v>
      </c>
      <c r="G99" s="74">
        <f>IFERROR($F99/Overview!$D$31,0)</f>
        <v>0</v>
      </c>
      <c r="H99" s="89">
        <f>IFERROR($F99/Overview!$D$30,0)</f>
        <v>0</v>
      </c>
      <c r="I99" s="116">
        <f t="shared" si="42"/>
        <v>0</v>
      </c>
    </row>
    <row r="100" spans="2:9" x14ac:dyDescent="0.3">
      <c r="B100" s="36" t="s">
        <v>259</v>
      </c>
      <c r="C100" s="5"/>
      <c r="D100" s="5"/>
      <c r="E100" s="28"/>
      <c r="F100" s="197">
        <v>0</v>
      </c>
      <c r="G100" s="74">
        <f>IFERROR($F100/Overview!$D$31,0)</f>
        <v>0</v>
      </c>
      <c r="H100" s="89">
        <f>IFERROR($F100/Overview!$D$30,0)</f>
        <v>0</v>
      </c>
      <c r="I100" s="116">
        <f t="shared" si="42"/>
        <v>0</v>
      </c>
    </row>
    <row r="101" spans="2:9" x14ac:dyDescent="0.3">
      <c r="B101" s="36" t="s">
        <v>260</v>
      </c>
      <c r="C101" s="5"/>
      <c r="D101" s="5"/>
      <c r="E101" s="28"/>
      <c r="F101" s="197">
        <v>0</v>
      </c>
      <c r="G101" s="74">
        <f>IFERROR($F101/Overview!$D$31,0)</f>
        <v>0</v>
      </c>
      <c r="H101" s="89">
        <f>IFERROR($F101/Overview!$D$30,0)</f>
        <v>0</v>
      </c>
      <c r="I101" s="116">
        <f t="shared" si="42"/>
        <v>0</v>
      </c>
    </row>
    <row r="102" spans="2:9" x14ac:dyDescent="0.3">
      <c r="B102" s="201" t="s">
        <v>261</v>
      </c>
      <c r="C102" s="202"/>
      <c r="D102" s="202"/>
      <c r="E102" s="185"/>
      <c r="F102" s="197">
        <v>0</v>
      </c>
      <c r="G102" s="74">
        <f>IFERROR($F102/Overview!$D$31,0)</f>
        <v>0</v>
      </c>
      <c r="H102" s="89">
        <f>IFERROR($F102/Overview!$D$30,0)</f>
        <v>0</v>
      </c>
      <c r="I102" s="116">
        <f t="shared" si="42"/>
        <v>0</v>
      </c>
    </row>
    <row r="103" spans="2:9" x14ac:dyDescent="0.3">
      <c r="B103" s="201" t="s">
        <v>261</v>
      </c>
      <c r="C103" s="202"/>
      <c r="D103" s="202"/>
      <c r="E103" s="185"/>
      <c r="F103" s="197">
        <v>0</v>
      </c>
      <c r="G103" s="74">
        <f>IFERROR($F103/Overview!$D$31,0)</f>
        <v>0</v>
      </c>
      <c r="H103" s="89">
        <f>IFERROR($F103/Overview!$D$30,0)</f>
        <v>0</v>
      </c>
      <c r="I103" s="116">
        <f t="shared" si="42"/>
        <v>0</v>
      </c>
    </row>
    <row r="104" spans="2:9" x14ac:dyDescent="0.3">
      <c r="B104" s="53" t="s">
        <v>262</v>
      </c>
      <c r="C104" s="44"/>
      <c r="D104" s="44"/>
      <c r="E104" s="42"/>
      <c r="F104" s="80">
        <f>SUM(F95:F103)</f>
        <v>0</v>
      </c>
      <c r="G104" s="80">
        <f>IFERROR($F104/Overview!$D$31,0)</f>
        <v>0</v>
      </c>
      <c r="H104" s="79">
        <f>IFERROR($F104/Overview!$D$30,0)</f>
        <v>0</v>
      </c>
      <c r="I104" s="119">
        <f t="shared" si="42"/>
        <v>0</v>
      </c>
    </row>
    <row r="105" spans="2:9" x14ac:dyDescent="0.3">
      <c r="B105" s="492"/>
      <c r="C105" s="5"/>
      <c r="D105" s="5"/>
      <c r="E105" s="28"/>
      <c r="F105" s="74"/>
      <c r="G105" s="74"/>
      <c r="H105" s="89"/>
      <c r="I105" s="116"/>
    </row>
    <row r="106" spans="2:9" x14ac:dyDescent="0.3">
      <c r="B106" s="54" t="s">
        <v>263</v>
      </c>
      <c r="C106" s="5"/>
      <c r="D106" s="5"/>
      <c r="E106" s="28"/>
      <c r="F106" s="74"/>
      <c r="G106" s="74"/>
      <c r="H106" s="89"/>
      <c r="I106" s="116"/>
    </row>
    <row r="107" spans="2:9" x14ac:dyDescent="0.3">
      <c r="B107" s="36" t="s">
        <v>264</v>
      </c>
      <c r="C107" s="5"/>
      <c r="D107" s="5"/>
      <c r="E107" s="28"/>
      <c r="F107" s="197">
        <v>0</v>
      </c>
      <c r="G107" s="74">
        <f>IFERROR($F107/Overview!$D$31,0)</f>
        <v>0</v>
      </c>
      <c r="H107" s="89">
        <f>IFERROR($F107/Overview!$D$30,0)</f>
        <v>0</v>
      </c>
      <c r="I107" s="116">
        <f>IFERROR($F107/$F$117,0)</f>
        <v>0</v>
      </c>
    </row>
    <row r="108" spans="2:9" x14ac:dyDescent="0.3">
      <c r="B108" s="201" t="s">
        <v>265</v>
      </c>
      <c r="C108" s="202"/>
      <c r="D108" s="202"/>
      <c r="E108" s="185"/>
      <c r="F108" s="197">
        <v>0</v>
      </c>
      <c r="G108" s="74">
        <f>IFERROR($F108/Overview!$D$31,0)</f>
        <v>0</v>
      </c>
      <c r="H108" s="89">
        <f>IFERROR($F108/Overview!$D$30,0)</f>
        <v>0</v>
      </c>
      <c r="I108" s="116">
        <f>IFERROR($F108/$F$117,0)</f>
        <v>0</v>
      </c>
    </row>
    <row r="109" spans="2:9" x14ac:dyDescent="0.3">
      <c r="B109" s="201" t="s">
        <v>266</v>
      </c>
      <c r="C109" s="202"/>
      <c r="D109" s="202"/>
      <c r="E109" s="185"/>
      <c r="F109" s="197">
        <v>0</v>
      </c>
      <c r="G109" s="74">
        <f>IFERROR($F109/Overview!$D$31,0)</f>
        <v>0</v>
      </c>
      <c r="H109" s="89">
        <f>IFERROR($F109/Overview!$D$30,0)</f>
        <v>0</v>
      </c>
      <c r="I109" s="116">
        <f>IFERROR($F109/$F$117,0)</f>
        <v>0</v>
      </c>
    </row>
    <row r="110" spans="2:9" x14ac:dyDescent="0.3">
      <c r="B110" s="201" t="s">
        <v>266</v>
      </c>
      <c r="C110" s="202"/>
      <c r="D110" s="202"/>
      <c r="E110" s="185"/>
      <c r="F110" s="197">
        <v>0</v>
      </c>
      <c r="G110" s="74">
        <f>IFERROR($F110/Overview!$D$31,0)</f>
        <v>0</v>
      </c>
      <c r="H110" s="89">
        <f>IFERROR($F110/Overview!$D$30,0)</f>
        <v>0</v>
      </c>
      <c r="I110" s="116">
        <f>IFERROR($F110/$F$117,0)</f>
        <v>0</v>
      </c>
    </row>
    <row r="111" spans="2:9" x14ac:dyDescent="0.3">
      <c r="B111" s="53" t="s">
        <v>267</v>
      </c>
      <c r="C111" s="44"/>
      <c r="D111" s="44"/>
      <c r="E111" s="42"/>
      <c r="F111" s="80">
        <f>SUM(F107:F110)</f>
        <v>0</v>
      </c>
      <c r="G111" s="80">
        <f>IFERROR($F111/Overview!$D$31,0)</f>
        <v>0</v>
      </c>
      <c r="H111" s="79">
        <f>IFERROR($F111/Overview!$D$30,0)</f>
        <v>0</v>
      </c>
      <c r="I111" s="119">
        <f>IFERROR($F111/$F$117,0)</f>
        <v>0</v>
      </c>
    </row>
    <row r="112" spans="2:9" x14ac:dyDescent="0.3">
      <c r="B112" s="252"/>
      <c r="C112" s="55"/>
      <c r="D112" s="55"/>
      <c r="E112" s="56"/>
      <c r="F112" s="111"/>
      <c r="G112" s="111"/>
      <c r="H112" s="106"/>
      <c r="I112" s="120"/>
    </row>
    <row r="113" spans="2:9" x14ac:dyDescent="0.3">
      <c r="B113" s="54" t="s">
        <v>268</v>
      </c>
      <c r="C113" s="55"/>
      <c r="D113" s="55"/>
      <c r="E113" s="56"/>
      <c r="F113" s="200">
        <v>0</v>
      </c>
      <c r="G113" s="111">
        <f>IFERROR($F113/Overview!$D$31,0)</f>
        <v>0</v>
      </c>
      <c r="H113" s="106">
        <f>IFERROR($F113/Overview!$D$30,0)</f>
        <v>0</v>
      </c>
      <c r="I113" s="120">
        <f>IFERROR($F113/$F$117,0)</f>
        <v>0</v>
      </c>
    </row>
    <row r="114" spans="2:9" x14ac:dyDescent="0.3">
      <c r="B114" s="492"/>
      <c r="C114" s="5"/>
      <c r="D114" s="5"/>
      <c r="E114" s="28"/>
      <c r="F114" s="74"/>
      <c r="G114" s="74"/>
      <c r="H114" s="89"/>
      <c r="I114" s="116"/>
    </row>
    <row r="115" spans="2:9" x14ac:dyDescent="0.3">
      <c r="B115" s="57" t="s">
        <v>269</v>
      </c>
      <c r="C115" s="51"/>
      <c r="D115" s="51"/>
      <c r="E115" s="52"/>
      <c r="F115" s="110">
        <f>SUM(F56,F65,F70,F82,F92,F104,F111,F113)</f>
        <v>0</v>
      </c>
      <c r="G115" s="110">
        <f>IFERROR($F115/Overview!$D$31,0)</f>
        <v>0</v>
      </c>
      <c r="H115" s="105">
        <f>IFERROR($F115/Overview!$D$30,0)</f>
        <v>0</v>
      </c>
      <c r="I115" s="117">
        <f>IFERROR($F115/$F$117,0)</f>
        <v>0</v>
      </c>
    </row>
    <row r="116" spans="2:9" x14ac:dyDescent="0.3">
      <c r="B116" s="492"/>
      <c r="C116" s="5"/>
      <c r="D116" s="5"/>
      <c r="E116" s="28"/>
      <c r="F116" s="74"/>
      <c r="G116" s="74"/>
      <c r="H116" s="89"/>
      <c r="I116" s="116"/>
    </row>
    <row r="117" spans="2:9" x14ac:dyDescent="0.3">
      <c r="B117" s="58" t="s">
        <v>270</v>
      </c>
      <c r="C117" s="33"/>
      <c r="D117" s="33"/>
      <c r="E117" s="59"/>
      <c r="F117" s="112">
        <f>SUM(F115,F45,F20)</f>
        <v>0</v>
      </c>
      <c r="G117" s="112">
        <f>IFERROR($F117/Overview!$D$31,0)</f>
        <v>0</v>
      </c>
      <c r="H117" s="107">
        <f>IFERROR($F117/Overview!$D$30,0)</f>
        <v>0</v>
      </c>
      <c r="I117" s="121">
        <f>IFERROR($F117/$F$117,0)</f>
        <v>0</v>
      </c>
    </row>
    <row r="118" spans="2:9" x14ac:dyDescent="0.3">
      <c r="B118" s="25"/>
      <c r="C118" s="26"/>
      <c r="D118" s="26"/>
      <c r="E118" s="30"/>
      <c r="F118" s="113"/>
      <c r="G118" s="113"/>
      <c r="H118" s="108"/>
      <c r="I118" s="122"/>
    </row>
  </sheetData>
  <sheetProtection sheet="1" objects="1" scenarios="1"/>
  <protectedRanges>
    <protectedRange sqref="M68:N71 N73:N75 N77:N79 M80 Q62 T69:X69 U70 X71 R76:R78" name="SWHP Tax Analysis"/>
    <protectedRange sqref="X18:X19 W23 X24:X31 X33:X38 U35:U38 W39 AF17:AH19 AF24:AH38" name="SWHP Income Statement"/>
    <protectedRange sqref="K17:K23 M17:O20 P17:P30 K32:K33 P32:P33 K37:K43 M37:O40 P37:P48 K50:K51 P50:P51" name="SWHP Sources Uses"/>
    <protectedRange sqref="F17:F19 B19 F24:F30 B30 E34:E40 F41:F42 B42 F49:F55 B55 F59:F64 B64 F68:F69 B69 F73:F81 B81 F85:F91 B91 F95:F103 B102:B103 F107:F110 B108:B110 F113" name="SWHP Budget"/>
  </protectedRanges>
  <mergeCells count="18">
    <mergeCell ref="B15:E15"/>
    <mergeCell ref="M68:N69"/>
    <mergeCell ref="B4:I9"/>
    <mergeCell ref="M70:N71"/>
    <mergeCell ref="W65:W67"/>
    <mergeCell ref="P65:Q67"/>
    <mergeCell ref="R65:R67"/>
    <mergeCell ref="N65:N67"/>
    <mergeCell ref="AC15:AE15"/>
    <mergeCell ref="U15:W15"/>
    <mergeCell ref="K15:L15"/>
    <mergeCell ref="M15:O15"/>
    <mergeCell ref="S65:S67"/>
    <mergeCell ref="T65:T67"/>
    <mergeCell ref="U65:U67"/>
    <mergeCell ref="V65:V67"/>
    <mergeCell ref="X65:X67"/>
    <mergeCell ref="K65:M67"/>
  </mergeCells>
  <dataValidations count="1">
    <dataValidation type="list" allowBlank="1" showInputMessage="1" showErrorMessage="1" sqref="Q62" xr:uid="{D4B5D90B-8EDE-4B65-8381-FE194EFB5327}">
      <formula1>$R$63:$X$63</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8194ECF-144F-4A46-AFB2-A9CDDDBC6C06}">
          <x14:formula1>
            <xm:f>List!$S$5:$S$10</xm:f>
          </x14:formula1>
          <xm:sqref>U70</xm:sqref>
        </x14:dataValidation>
        <x14:dataValidation type="list" allowBlank="1" showInputMessage="1" showErrorMessage="1" xr:uid="{1D31420D-12E1-404C-B148-7315005E0E9D}">
          <x14:formula1>
            <xm:f>List!$U$5:$U$12</xm:f>
          </x14:formula1>
          <xm:sqref>X71</xm:sqref>
        </x14:dataValidation>
        <x14:dataValidation type="list" allowBlank="1" showInputMessage="1" showErrorMessage="1" xr:uid="{AF6972DD-7C8B-4FFC-92F2-BFD2F5BAA269}">
          <x14:formula1>
            <xm:f>List!$O$5:$O$7</xm:f>
          </x14:formula1>
          <xm:sqref>M17:M20 M37:M40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65D56-C8C7-4964-AEEB-04801956EA56}">
  <dimension ref="B1:AO28"/>
  <sheetViews>
    <sheetView zoomScaleNormal="100" workbookViewId="0">
      <selection activeCell="F9" sqref="F9"/>
    </sheetView>
  </sheetViews>
  <sheetFormatPr defaultColWidth="8.88671875" defaultRowHeight="12.75" customHeight="1" x14ac:dyDescent="0.3"/>
  <cols>
    <col min="1" max="1" width="2.6640625" style="1" customWidth="1"/>
    <col min="2" max="2" width="12.6640625" style="1" customWidth="1"/>
    <col min="3" max="3" width="2.6640625" style="1" customWidth="1"/>
    <col min="4" max="4" width="12.6640625" style="1" customWidth="1"/>
    <col min="5" max="5" width="2.6640625" style="1" customWidth="1"/>
    <col min="6" max="6" width="12.6640625" style="1" customWidth="1"/>
    <col min="7" max="7" width="2.6640625" style="1" customWidth="1"/>
    <col min="8" max="8" width="12.6640625" style="1" customWidth="1"/>
    <col min="9" max="9" width="3.33203125" style="1" customWidth="1"/>
    <col min="10" max="10" width="15.33203125" style="1" customWidth="1"/>
    <col min="11" max="11" width="2.6640625" style="1" customWidth="1"/>
    <col min="12" max="12" width="31.44140625" style="1" bestFit="1" customWidth="1"/>
    <col min="13" max="13" width="12.6640625" style="1" customWidth="1"/>
    <col min="14" max="14" width="2.6640625" style="1" customWidth="1"/>
    <col min="15" max="15" width="12.6640625" style="1" customWidth="1"/>
    <col min="16" max="16" width="2.6640625" style="1" customWidth="1"/>
    <col min="17" max="17" width="12.6640625" style="1" customWidth="1"/>
    <col min="18" max="18" width="2.6640625" style="1" customWidth="1"/>
    <col min="19" max="19" width="12.6640625" style="1" customWidth="1"/>
    <col min="20" max="20" width="2.6640625" style="1" customWidth="1"/>
    <col min="21" max="21" width="12.6640625" style="1" customWidth="1"/>
    <col min="22" max="22" width="2.6640625" style="1" customWidth="1"/>
    <col min="23" max="23" width="36.44140625" style="69" bestFit="1" customWidth="1"/>
    <col min="24" max="24" width="3" style="69" customWidth="1"/>
    <col min="25" max="25" width="36.44140625" style="69" customWidth="1"/>
    <col min="26" max="26" width="3.6640625" style="69" customWidth="1"/>
    <col min="27" max="27" width="36.44140625" style="69" bestFit="1" customWidth="1"/>
    <col min="28" max="28" width="2.6640625" style="1" customWidth="1"/>
    <col min="29" max="29" width="36.44140625" style="69" bestFit="1" customWidth="1"/>
    <col min="30" max="31" width="12.6640625" style="1" customWidth="1"/>
    <col min="32" max="32" width="2.6640625" style="1" customWidth="1"/>
    <col min="33" max="33" width="15.33203125" style="69" bestFit="1" customWidth="1"/>
    <col min="34" max="34" width="2.6640625" style="1" customWidth="1"/>
    <col min="35" max="35" width="15.33203125" style="69" bestFit="1" customWidth="1"/>
    <col min="36" max="36" width="2.6640625" style="1" customWidth="1"/>
    <col min="37" max="37" width="15.33203125" style="69" bestFit="1" customWidth="1"/>
    <col min="38" max="38" width="2.6640625" style="1" customWidth="1"/>
    <col min="39" max="39" width="15.33203125" style="69" bestFit="1" customWidth="1"/>
    <col min="40" max="40" width="2.6640625" style="1" customWidth="1"/>
    <col min="41" max="16384" width="8.88671875" style="1"/>
  </cols>
  <sheetData>
    <row r="1" spans="2:41" s="2" customFormat="1" ht="15.6" x14ac:dyDescent="0.3">
      <c r="B1" s="2" t="s">
        <v>0</v>
      </c>
      <c r="AA1" s="182"/>
      <c r="AC1" s="182"/>
      <c r="AE1" s="182"/>
      <c r="AI1" s="182"/>
      <c r="AK1" s="182"/>
      <c r="AM1" s="182"/>
      <c r="AO1" s="182"/>
    </row>
    <row r="2" spans="2:41" ht="13.8" x14ac:dyDescent="0.3">
      <c r="B2" s="1" t="s">
        <v>341</v>
      </c>
    </row>
    <row r="4" spans="2:41" ht="13.8" x14ac:dyDescent="0.3">
      <c r="B4" s="70" t="s">
        <v>342</v>
      </c>
      <c r="D4" s="70" t="s">
        <v>343</v>
      </c>
      <c r="F4" s="70" t="s">
        <v>344</v>
      </c>
      <c r="H4" s="70" t="s">
        <v>345</v>
      </c>
      <c r="I4" s="70"/>
      <c r="J4" s="70" t="s">
        <v>346</v>
      </c>
      <c r="L4" s="70" t="s">
        <v>347</v>
      </c>
      <c r="M4" s="70" t="s">
        <v>348</v>
      </c>
      <c r="O4" s="70" t="s">
        <v>279</v>
      </c>
      <c r="Q4" s="70" t="s">
        <v>349</v>
      </c>
      <c r="S4" s="70" t="s">
        <v>326</v>
      </c>
      <c r="U4" s="70" t="s">
        <v>350</v>
      </c>
      <c r="W4" s="70" t="s">
        <v>351</v>
      </c>
      <c r="X4" s="70"/>
      <c r="Y4" s="70" t="s">
        <v>352</v>
      </c>
      <c r="Z4" s="70"/>
      <c r="AA4" s="70" t="s">
        <v>353</v>
      </c>
      <c r="AC4" s="70" t="s">
        <v>354</v>
      </c>
      <c r="AD4" s="70" t="s">
        <v>355</v>
      </c>
      <c r="AE4" s="70" t="s">
        <v>356</v>
      </c>
      <c r="AG4" s="70" t="s">
        <v>357</v>
      </c>
      <c r="AI4" s="70" t="s">
        <v>358</v>
      </c>
      <c r="AK4" s="70" t="s">
        <v>359</v>
      </c>
      <c r="AM4" s="70" t="s">
        <v>360</v>
      </c>
    </row>
    <row r="5" spans="2:41" ht="13.8" x14ac:dyDescent="0.3">
      <c r="B5" s="69" t="s">
        <v>139</v>
      </c>
      <c r="D5" s="69" t="s">
        <v>139</v>
      </c>
      <c r="F5" s="69" t="s">
        <v>139</v>
      </c>
      <c r="H5" s="69" t="s">
        <v>139</v>
      </c>
      <c r="I5" s="69"/>
      <c r="J5" s="69" t="s">
        <v>139</v>
      </c>
      <c r="L5" s="69" t="s">
        <v>139</v>
      </c>
      <c r="M5" s="69" t="s">
        <v>139</v>
      </c>
      <c r="O5" s="69" t="s">
        <v>361</v>
      </c>
      <c r="Q5" s="69" t="s">
        <v>212</v>
      </c>
      <c r="S5" s="69" t="s">
        <v>362</v>
      </c>
      <c r="U5" s="280">
        <v>7.0000000000000007E-2</v>
      </c>
      <c r="W5" s="69" t="s">
        <v>363</v>
      </c>
      <c r="Y5" s="69" t="s">
        <v>364</v>
      </c>
      <c r="AA5" s="69" t="s">
        <v>141</v>
      </c>
      <c r="AC5" s="69" t="s">
        <v>19</v>
      </c>
      <c r="AD5" s="160">
        <v>0.01</v>
      </c>
      <c r="AE5" s="160">
        <v>0.6</v>
      </c>
      <c r="AG5" s="69" t="s">
        <v>365</v>
      </c>
      <c r="AI5" s="69" t="s">
        <v>365</v>
      </c>
      <c r="AK5" s="69" t="s">
        <v>142</v>
      </c>
      <c r="AM5" s="69" t="s">
        <v>366</v>
      </c>
    </row>
    <row r="6" spans="2:41" ht="13.8" x14ac:dyDescent="0.3">
      <c r="B6" s="69" t="s">
        <v>30</v>
      </c>
      <c r="D6" s="69" t="s">
        <v>71</v>
      </c>
      <c r="E6" s="69"/>
      <c r="F6" s="69" t="s">
        <v>367</v>
      </c>
      <c r="H6" s="69" t="s">
        <v>367</v>
      </c>
      <c r="I6" s="69"/>
      <c r="J6" s="69" t="s">
        <v>85</v>
      </c>
      <c r="L6" s="69" t="s">
        <v>368</v>
      </c>
      <c r="M6" s="69" t="s">
        <v>369</v>
      </c>
      <c r="O6" s="69" t="s">
        <v>370</v>
      </c>
      <c r="Q6" s="69" t="s">
        <v>329</v>
      </c>
      <c r="S6" s="69" t="s">
        <v>371</v>
      </c>
      <c r="U6" s="280">
        <v>7.4999999999999997E-2</v>
      </c>
      <c r="W6" s="69" t="s">
        <v>372</v>
      </c>
      <c r="Y6" s="69" t="s">
        <v>373</v>
      </c>
      <c r="AA6" s="69" t="s">
        <v>85</v>
      </c>
      <c r="AC6" s="69" t="s">
        <v>374</v>
      </c>
      <c r="AD6" s="160">
        <v>0.61</v>
      </c>
      <c r="AE6" s="160">
        <v>0.8</v>
      </c>
      <c r="AG6" s="69" t="s">
        <v>375</v>
      </c>
      <c r="AI6" s="69" t="s">
        <v>376</v>
      </c>
      <c r="AK6" s="69" t="s">
        <v>377</v>
      </c>
      <c r="AM6" s="69" t="s">
        <v>378</v>
      </c>
    </row>
    <row r="7" spans="2:41" ht="13.8" x14ac:dyDescent="0.3">
      <c r="B7" s="69" t="s">
        <v>31</v>
      </c>
      <c r="D7" s="69" t="s">
        <v>38</v>
      </c>
      <c r="F7" s="69" t="s">
        <v>137</v>
      </c>
      <c r="H7" s="68" t="s">
        <v>138</v>
      </c>
      <c r="I7" s="68"/>
      <c r="J7" s="69" t="s">
        <v>379</v>
      </c>
      <c r="L7" s="69" t="s">
        <v>380</v>
      </c>
      <c r="M7" s="69" t="s">
        <v>381</v>
      </c>
      <c r="O7" s="69" t="s">
        <v>139</v>
      </c>
      <c r="Q7" s="69" t="s">
        <v>139</v>
      </c>
      <c r="S7" s="69" t="s">
        <v>382</v>
      </c>
      <c r="U7" s="280">
        <v>0.08</v>
      </c>
      <c r="W7" s="69" t="s">
        <v>383</v>
      </c>
      <c r="Y7" s="69" t="s">
        <v>384</v>
      </c>
      <c r="AC7" s="69" t="s">
        <v>385</v>
      </c>
      <c r="AD7" s="160">
        <v>0.81</v>
      </c>
      <c r="AE7" s="160">
        <v>1.2</v>
      </c>
      <c r="AI7" s="69" t="s">
        <v>386</v>
      </c>
      <c r="AK7" s="69" t="s">
        <v>387</v>
      </c>
      <c r="AM7" s="69" t="s">
        <v>388</v>
      </c>
    </row>
    <row r="8" spans="2:41" ht="13.8" x14ac:dyDescent="0.3">
      <c r="B8" s="69" t="s">
        <v>32</v>
      </c>
      <c r="D8" s="68">
        <v>0.2</v>
      </c>
      <c r="F8" s="69" t="s">
        <v>389</v>
      </c>
      <c r="H8" s="68" t="s">
        <v>390</v>
      </c>
      <c r="I8" s="68"/>
      <c r="J8" s="68" t="s">
        <v>391</v>
      </c>
      <c r="L8" s="1" t="s">
        <v>392</v>
      </c>
      <c r="M8" s="69" t="s">
        <v>393</v>
      </c>
      <c r="S8" s="69" t="s">
        <v>394</v>
      </c>
      <c r="U8" s="280">
        <v>8.5000000000000006E-2</v>
      </c>
      <c r="AD8" s="160"/>
      <c r="AE8" s="160"/>
      <c r="AI8" s="69" t="s">
        <v>395</v>
      </c>
      <c r="AK8" s="69" t="s">
        <v>396</v>
      </c>
    </row>
    <row r="9" spans="2:41" ht="13.8" x14ac:dyDescent="0.3">
      <c r="B9" s="69" t="s">
        <v>33</v>
      </c>
      <c r="D9" s="68">
        <v>0.25</v>
      </c>
      <c r="F9" s="69" t="s">
        <v>397</v>
      </c>
      <c r="H9" s="69"/>
      <c r="I9" s="69"/>
      <c r="J9" s="68"/>
      <c r="L9" s="69" t="s">
        <v>386</v>
      </c>
      <c r="M9" s="69" t="s">
        <v>398</v>
      </c>
      <c r="S9" s="69" t="s">
        <v>399</v>
      </c>
      <c r="U9" s="280">
        <v>0.09</v>
      </c>
      <c r="AD9" s="69"/>
      <c r="AE9" s="69"/>
      <c r="AK9" s="69" t="s">
        <v>400</v>
      </c>
    </row>
    <row r="10" spans="2:41" ht="13.8" x14ac:dyDescent="0.3">
      <c r="B10" s="69" t="s">
        <v>34</v>
      </c>
      <c r="D10" s="68">
        <v>0.3</v>
      </c>
      <c r="F10" s="69" t="s">
        <v>38</v>
      </c>
      <c r="H10" s="69"/>
      <c r="I10" s="69"/>
      <c r="J10" s="69"/>
      <c r="S10" s="69" t="s">
        <v>139</v>
      </c>
      <c r="U10" s="280">
        <v>9.5000000000000001E-2</v>
      </c>
      <c r="AK10" s="69" t="s">
        <v>401</v>
      </c>
    </row>
    <row r="11" spans="2:41" ht="13.8" x14ac:dyDescent="0.3">
      <c r="B11" s="69"/>
      <c r="D11" s="68">
        <v>0.35</v>
      </c>
      <c r="U11" s="280">
        <v>0.1</v>
      </c>
      <c r="AK11" s="69" t="s">
        <v>402</v>
      </c>
    </row>
    <row r="12" spans="2:41" ht="13.8" x14ac:dyDescent="0.3">
      <c r="D12" s="68">
        <v>0.4</v>
      </c>
      <c r="U12" s="69" t="s">
        <v>16</v>
      </c>
      <c r="AK12" s="69" t="s">
        <v>403</v>
      </c>
    </row>
    <row r="13" spans="2:41" ht="13.8" x14ac:dyDescent="0.3">
      <c r="D13" s="68">
        <v>0.45</v>
      </c>
      <c r="AK13" s="69" t="s">
        <v>139</v>
      </c>
    </row>
    <row r="14" spans="2:41" ht="13.8" x14ac:dyDescent="0.3">
      <c r="D14" s="68">
        <v>0.5</v>
      </c>
    </row>
    <row r="15" spans="2:41" ht="13.8" x14ac:dyDescent="0.3">
      <c r="D15" s="68">
        <v>0.55000000000000004</v>
      </c>
    </row>
    <row r="16" spans="2:41" ht="13.8" x14ac:dyDescent="0.3">
      <c r="D16" s="68">
        <v>0.6</v>
      </c>
    </row>
    <row r="17" spans="4:4" ht="13.8" x14ac:dyDescent="0.3">
      <c r="D17" s="68">
        <v>0.65</v>
      </c>
    </row>
    <row r="18" spans="4:4" ht="13.8" x14ac:dyDescent="0.3">
      <c r="D18" s="68">
        <v>0.7</v>
      </c>
    </row>
    <row r="19" spans="4:4" ht="12.75" customHeight="1" x14ac:dyDescent="0.3">
      <c r="D19" s="68">
        <v>0.75</v>
      </c>
    </row>
    <row r="20" spans="4:4" ht="12.75" customHeight="1" x14ac:dyDescent="0.3">
      <c r="D20" s="68">
        <v>0.8</v>
      </c>
    </row>
    <row r="21" spans="4:4" ht="12.75" customHeight="1" x14ac:dyDescent="0.3">
      <c r="D21" s="68">
        <v>0.85</v>
      </c>
    </row>
    <row r="22" spans="4:4" ht="12.75" customHeight="1" x14ac:dyDescent="0.3">
      <c r="D22" s="68">
        <v>0.9</v>
      </c>
    </row>
    <row r="23" spans="4:4" ht="12.75" customHeight="1" x14ac:dyDescent="0.3">
      <c r="D23" s="68">
        <v>0.95</v>
      </c>
    </row>
    <row r="24" spans="4:4" ht="12.75" customHeight="1" x14ac:dyDescent="0.3">
      <c r="D24" s="68">
        <v>1</v>
      </c>
    </row>
    <row r="25" spans="4:4" ht="12.75" customHeight="1" x14ac:dyDescent="0.3">
      <c r="D25" s="68">
        <v>1.05</v>
      </c>
    </row>
    <row r="26" spans="4:4" ht="12.75" customHeight="1" x14ac:dyDescent="0.3">
      <c r="D26" s="68">
        <v>1.1000000000000001</v>
      </c>
    </row>
    <row r="27" spans="4:4" ht="12.75" customHeight="1" x14ac:dyDescent="0.3">
      <c r="D27" s="68">
        <v>1.1499999999999999</v>
      </c>
    </row>
    <row r="28" spans="4:4" ht="12.75" customHeight="1" x14ac:dyDescent="0.3">
      <c r="D28" s="68">
        <v>1.2</v>
      </c>
    </row>
  </sheetData>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FCA6-01F9-4D38-9DE2-B952A84ADFAB}">
  <dimension ref="B1:J67"/>
  <sheetViews>
    <sheetView showGridLines="0" topLeftCell="A47" zoomScaleNormal="100" workbookViewId="0">
      <selection activeCell="D66" sqref="D66"/>
    </sheetView>
  </sheetViews>
  <sheetFormatPr defaultColWidth="15.6640625" defaultRowHeight="13.8" x14ac:dyDescent="0.3"/>
  <cols>
    <col min="1" max="1" width="2.6640625" style="1" customWidth="1"/>
    <col min="2" max="16384" width="15.6640625" style="1"/>
  </cols>
  <sheetData>
    <row r="1" spans="2:10" s="4" customFormat="1" ht="15.6" x14ac:dyDescent="0.3">
      <c r="B1" s="4" t="s">
        <v>0</v>
      </c>
    </row>
    <row r="2" spans="2:10" s="5" customFormat="1" ht="15" customHeight="1" x14ac:dyDescent="0.3">
      <c r="B2" s="5" t="s">
        <v>404</v>
      </c>
    </row>
    <row r="3" spans="2:10" s="5" customFormat="1" ht="15" customHeight="1" thickBot="1" x14ac:dyDescent="0.35"/>
    <row r="4" spans="2:10" s="5" customFormat="1" ht="15" customHeight="1" x14ac:dyDescent="0.3">
      <c r="B4" s="640" t="s">
        <v>405</v>
      </c>
      <c r="C4" s="641"/>
      <c r="D4" s="641"/>
      <c r="E4" s="641"/>
      <c r="F4" s="641"/>
      <c r="G4" s="641"/>
      <c r="H4" s="642"/>
    </row>
    <row r="5" spans="2:10" s="5" customFormat="1" ht="15" customHeight="1" x14ac:dyDescent="0.3">
      <c r="B5" s="643"/>
      <c r="C5" s="600"/>
      <c r="D5" s="600"/>
      <c r="E5" s="600"/>
      <c r="F5" s="600"/>
      <c r="G5" s="600"/>
      <c r="H5" s="644"/>
    </row>
    <row r="6" spans="2:10" s="5" customFormat="1" ht="15" customHeight="1" x14ac:dyDescent="0.3">
      <c r="B6" s="643"/>
      <c r="C6" s="600"/>
      <c r="D6" s="600"/>
      <c r="E6" s="600"/>
      <c r="F6" s="600"/>
      <c r="G6" s="600"/>
      <c r="H6" s="644"/>
    </row>
    <row r="7" spans="2:10" s="5" customFormat="1" ht="15" customHeight="1" x14ac:dyDescent="0.3">
      <c r="B7" s="643"/>
      <c r="C7" s="600"/>
      <c r="D7" s="600"/>
      <c r="E7" s="600"/>
      <c r="F7" s="600"/>
      <c r="G7" s="600"/>
      <c r="H7" s="644"/>
    </row>
    <row r="8" spans="2:10" s="5" customFormat="1" ht="15" customHeight="1" x14ac:dyDescent="0.3">
      <c r="B8" s="643"/>
      <c r="C8" s="600"/>
      <c r="D8" s="600"/>
      <c r="E8" s="600"/>
      <c r="F8" s="600"/>
      <c r="G8" s="600"/>
      <c r="H8" s="644"/>
    </row>
    <row r="9" spans="2:10" s="5" customFormat="1" ht="15" customHeight="1" thickBot="1" x14ac:dyDescent="0.35">
      <c r="B9" s="645"/>
      <c r="C9" s="646"/>
      <c r="D9" s="646"/>
      <c r="E9" s="646"/>
      <c r="F9" s="646"/>
      <c r="G9" s="646"/>
      <c r="H9" s="647"/>
    </row>
    <row r="10" spans="2:10" s="5" customFormat="1" ht="15" customHeight="1" x14ac:dyDescent="0.3">
      <c r="B10" s="435"/>
      <c r="C10" s="435"/>
      <c r="D10" s="435"/>
      <c r="E10" s="435"/>
      <c r="F10" s="435"/>
      <c r="G10" s="435"/>
      <c r="H10" s="435"/>
    </row>
    <row r="11" spans="2:10" s="5" customFormat="1" ht="15" customHeight="1" x14ac:dyDescent="0.3">
      <c r="B11" s="61" t="s">
        <v>3</v>
      </c>
      <c r="C11" s="189" t="s">
        <v>4</v>
      </c>
      <c r="D11" s="62" t="s">
        <v>5</v>
      </c>
      <c r="E11" s="63" t="s">
        <v>6</v>
      </c>
      <c r="F11"/>
    </row>
    <row r="12" spans="2:10" s="5" customFormat="1" ht="15" customHeight="1" x14ac:dyDescent="0.3"/>
    <row r="14" spans="2:10" x14ac:dyDescent="0.3">
      <c r="B14" s="32" t="s">
        <v>404</v>
      </c>
      <c r="C14" s="544"/>
      <c r="D14" s="544"/>
      <c r="E14" s="544"/>
      <c r="F14" s="544"/>
      <c r="G14" s="544"/>
      <c r="H14" s="545"/>
    </row>
    <row r="15" spans="2:10" ht="12.75" customHeight="1" x14ac:dyDescent="0.3">
      <c r="B15" s="519" t="s">
        <v>406</v>
      </c>
      <c r="C15" s="540"/>
      <c r="D15" s="540" t="s">
        <v>26</v>
      </c>
      <c r="E15" s="541" t="s">
        <v>27</v>
      </c>
      <c r="F15" s="541" t="s">
        <v>407</v>
      </c>
      <c r="G15" s="541" t="s">
        <v>408</v>
      </c>
      <c r="H15" s="538" t="s">
        <v>409</v>
      </c>
    </row>
    <row r="16" spans="2:10" ht="13.95" customHeight="1" x14ac:dyDescent="0.3">
      <c r="B16" s="648" t="s">
        <v>143</v>
      </c>
      <c r="C16" s="649"/>
      <c r="D16" s="522">
        <v>0</v>
      </c>
      <c r="E16" s="333">
        <f>IFERROR(D16/Overview!$D$31,0)</f>
        <v>0</v>
      </c>
      <c r="F16" s="329" t="s">
        <v>410</v>
      </c>
      <c r="G16" s="329" t="s">
        <v>410</v>
      </c>
      <c r="H16" s="328" t="s">
        <v>410</v>
      </c>
      <c r="J16" s="306"/>
    </row>
    <row r="17" spans="2:10" ht="13.95" customHeight="1" x14ac:dyDescent="0.3">
      <c r="B17" s="636" t="s">
        <v>143</v>
      </c>
      <c r="C17" s="637"/>
      <c r="D17" s="523">
        <v>0</v>
      </c>
      <c r="E17" s="334">
        <f>IFERROR(D17/Overview!$D$31,0)</f>
        <v>0</v>
      </c>
      <c r="F17" s="330" t="s">
        <v>410</v>
      </c>
      <c r="G17" s="327" t="s">
        <v>410</v>
      </c>
      <c r="H17" s="331" t="s">
        <v>410</v>
      </c>
      <c r="J17" s="306"/>
    </row>
    <row r="18" spans="2:10" ht="13.95" customHeight="1" x14ac:dyDescent="0.3">
      <c r="B18" s="636" t="s">
        <v>143</v>
      </c>
      <c r="C18" s="637"/>
      <c r="D18" s="523">
        <v>0</v>
      </c>
      <c r="E18" s="334">
        <f>IFERROR(D18/Overview!$D$31,0)</f>
        <v>0</v>
      </c>
      <c r="F18" s="330" t="s">
        <v>410</v>
      </c>
      <c r="G18" s="327" t="s">
        <v>410</v>
      </c>
      <c r="H18" s="331" t="s">
        <v>410</v>
      </c>
      <c r="J18" s="306"/>
    </row>
    <row r="19" spans="2:10" x14ac:dyDescent="0.3">
      <c r="B19" s="636" t="s">
        <v>143</v>
      </c>
      <c r="C19" s="637"/>
      <c r="D19" s="523">
        <v>0</v>
      </c>
      <c r="E19" s="334">
        <f>IFERROR(D19/Overview!$D$31,0)</f>
        <v>0</v>
      </c>
      <c r="F19" s="330" t="s">
        <v>410</v>
      </c>
      <c r="G19" s="327" t="s">
        <v>410</v>
      </c>
      <c r="H19" s="331" t="s">
        <v>410</v>
      </c>
      <c r="I19" s="69"/>
    </row>
    <row r="20" spans="2:10" x14ac:dyDescent="0.3">
      <c r="B20" s="636" t="s">
        <v>143</v>
      </c>
      <c r="C20" s="637"/>
      <c r="D20" s="523">
        <v>0</v>
      </c>
      <c r="E20" s="334">
        <f>IFERROR(D20/Overview!$D$31,0)</f>
        <v>0</v>
      </c>
      <c r="F20" s="330" t="s">
        <v>410</v>
      </c>
      <c r="G20" s="327" t="s">
        <v>410</v>
      </c>
      <c r="H20" s="331" t="s">
        <v>410</v>
      </c>
    </row>
    <row r="21" spans="2:10" x14ac:dyDescent="0.3">
      <c r="B21" s="636" t="s">
        <v>143</v>
      </c>
      <c r="C21" s="637"/>
      <c r="D21" s="523">
        <v>0</v>
      </c>
      <c r="E21" s="334">
        <f>IFERROR(D21/Overview!$D$31,0)</f>
        <v>0</v>
      </c>
      <c r="F21" s="330" t="s">
        <v>410</v>
      </c>
      <c r="G21" s="327" t="s">
        <v>410</v>
      </c>
      <c r="H21" s="331" t="s">
        <v>410</v>
      </c>
    </row>
    <row r="22" spans="2:10" x14ac:dyDescent="0.3">
      <c r="B22" s="636" t="s">
        <v>143</v>
      </c>
      <c r="C22" s="637"/>
      <c r="D22" s="523">
        <v>0</v>
      </c>
      <c r="E22" s="334">
        <f>IFERROR(D22/Overview!$D$31,0)</f>
        <v>0</v>
      </c>
      <c r="F22" s="330" t="s">
        <v>410</v>
      </c>
      <c r="G22" s="327" t="s">
        <v>410</v>
      </c>
      <c r="H22" s="331" t="s">
        <v>410</v>
      </c>
    </row>
    <row r="23" spans="2:10" x14ac:dyDescent="0.3">
      <c r="B23" s="636" t="s">
        <v>143</v>
      </c>
      <c r="C23" s="637"/>
      <c r="D23" s="523">
        <v>0</v>
      </c>
      <c r="E23" s="334">
        <f>IFERROR(D23/Overview!$D$31,0)</f>
        <v>0</v>
      </c>
      <c r="F23" s="330" t="s">
        <v>410</v>
      </c>
      <c r="G23" s="327" t="s">
        <v>410</v>
      </c>
      <c r="H23" s="331" t="s">
        <v>410</v>
      </c>
    </row>
    <row r="24" spans="2:10" x14ac:dyDescent="0.3">
      <c r="B24" s="636" t="s">
        <v>143</v>
      </c>
      <c r="C24" s="637"/>
      <c r="D24" s="523">
        <v>0</v>
      </c>
      <c r="E24" s="334">
        <f>IFERROR(D24/Overview!$D$31,0)</f>
        <v>0</v>
      </c>
      <c r="F24" s="330" t="s">
        <v>410</v>
      </c>
      <c r="G24" s="327" t="s">
        <v>410</v>
      </c>
      <c r="H24" s="331" t="s">
        <v>410</v>
      </c>
    </row>
    <row r="25" spans="2:10" x14ac:dyDescent="0.3">
      <c r="B25" s="636" t="s">
        <v>143</v>
      </c>
      <c r="C25" s="637"/>
      <c r="D25" s="523">
        <v>0</v>
      </c>
      <c r="E25" s="334">
        <f>IFERROR(D25/Overview!$D$31,0)</f>
        <v>0</v>
      </c>
      <c r="F25" s="330" t="s">
        <v>410</v>
      </c>
      <c r="G25" s="327" t="s">
        <v>410</v>
      </c>
      <c r="H25" s="331" t="s">
        <v>410</v>
      </c>
    </row>
    <row r="26" spans="2:10" x14ac:dyDescent="0.3">
      <c r="B26" s="636" t="s">
        <v>143</v>
      </c>
      <c r="C26" s="637"/>
      <c r="D26" s="523">
        <v>0</v>
      </c>
      <c r="E26" s="334">
        <f>IFERROR(D26/Overview!$D$31,0)</f>
        <v>0</v>
      </c>
      <c r="F26" s="330" t="s">
        <v>410</v>
      </c>
      <c r="G26" s="327" t="s">
        <v>410</v>
      </c>
      <c r="H26" s="331" t="s">
        <v>410</v>
      </c>
    </row>
    <row r="27" spans="2:10" x14ac:dyDescent="0.3">
      <c r="B27" s="636" t="s">
        <v>143</v>
      </c>
      <c r="C27" s="637"/>
      <c r="D27" s="523">
        <v>0</v>
      </c>
      <c r="E27" s="334">
        <f>IFERROR(D27/Overview!$D$31,0)</f>
        <v>0</v>
      </c>
      <c r="F27" s="330" t="s">
        <v>410</v>
      </c>
      <c r="G27" s="327" t="s">
        <v>410</v>
      </c>
      <c r="H27" s="331" t="s">
        <v>410</v>
      </c>
    </row>
    <row r="28" spans="2:10" x14ac:dyDescent="0.3">
      <c r="B28" s="636" t="s">
        <v>143</v>
      </c>
      <c r="C28" s="637"/>
      <c r="D28" s="523">
        <v>0</v>
      </c>
      <c r="E28" s="334">
        <f>IFERROR(D28/Overview!$D$31,0)</f>
        <v>0</v>
      </c>
      <c r="F28" s="330" t="s">
        <v>410</v>
      </c>
      <c r="G28" s="327" t="s">
        <v>410</v>
      </c>
      <c r="H28" s="331" t="s">
        <v>410</v>
      </c>
    </row>
    <row r="29" spans="2:10" x14ac:dyDescent="0.3">
      <c r="B29" s="636" t="s">
        <v>143</v>
      </c>
      <c r="C29" s="637"/>
      <c r="D29" s="523">
        <v>0</v>
      </c>
      <c r="E29" s="334">
        <f>IFERROR(D29/Overview!$D$31,0)</f>
        <v>0</v>
      </c>
      <c r="F29" s="330" t="s">
        <v>410</v>
      </c>
      <c r="G29" s="327" t="s">
        <v>410</v>
      </c>
      <c r="H29" s="331" t="s">
        <v>410</v>
      </c>
    </row>
    <row r="30" spans="2:10" x14ac:dyDescent="0.3">
      <c r="B30" s="636" t="s">
        <v>143</v>
      </c>
      <c r="C30" s="637"/>
      <c r="D30" s="523">
        <v>0</v>
      </c>
      <c r="E30" s="334">
        <f>IFERROR(D30/Overview!$D$31,0)</f>
        <v>0</v>
      </c>
      <c r="F30" s="330" t="s">
        <v>410</v>
      </c>
      <c r="G30" s="327" t="s">
        <v>410</v>
      </c>
      <c r="H30" s="331" t="s">
        <v>410</v>
      </c>
    </row>
    <row r="31" spans="2:10" x14ac:dyDescent="0.3">
      <c r="B31" s="636" t="s">
        <v>143</v>
      </c>
      <c r="C31" s="637"/>
      <c r="D31" s="523">
        <v>0</v>
      </c>
      <c r="E31" s="334">
        <f>IFERROR(D31/Overview!$D$31,0)</f>
        <v>0</v>
      </c>
      <c r="F31" s="330" t="s">
        <v>410</v>
      </c>
      <c r="G31" s="327" t="s">
        <v>410</v>
      </c>
      <c r="H31" s="331" t="s">
        <v>410</v>
      </c>
    </row>
    <row r="32" spans="2:10" x14ac:dyDescent="0.3">
      <c r="B32" s="636" t="s">
        <v>143</v>
      </c>
      <c r="C32" s="637"/>
      <c r="D32" s="523">
        <v>0</v>
      </c>
      <c r="E32" s="334">
        <f>IFERROR(D32/Overview!$D$31,0)</f>
        <v>0</v>
      </c>
      <c r="F32" s="330" t="s">
        <v>410</v>
      </c>
      <c r="G32" s="327" t="s">
        <v>410</v>
      </c>
      <c r="H32" s="331" t="s">
        <v>410</v>
      </c>
    </row>
    <row r="33" spans="2:8" x14ac:dyDescent="0.3">
      <c r="B33" s="636" t="s">
        <v>143</v>
      </c>
      <c r="C33" s="637"/>
      <c r="D33" s="523">
        <v>0</v>
      </c>
      <c r="E33" s="334">
        <f>IFERROR(D33/Overview!$D$31,0)</f>
        <v>0</v>
      </c>
      <c r="F33" s="330" t="s">
        <v>410</v>
      </c>
      <c r="G33" s="327" t="s">
        <v>410</v>
      </c>
      <c r="H33" s="331" t="s">
        <v>410</v>
      </c>
    </row>
    <row r="34" spans="2:8" x14ac:dyDescent="0.3">
      <c r="B34" s="636" t="s">
        <v>143</v>
      </c>
      <c r="C34" s="637"/>
      <c r="D34" s="523">
        <v>0</v>
      </c>
      <c r="E34" s="334">
        <f>IFERROR(D34/Overview!$D$31,0)</f>
        <v>0</v>
      </c>
      <c r="F34" s="330" t="s">
        <v>410</v>
      </c>
      <c r="G34" s="327" t="s">
        <v>410</v>
      </c>
      <c r="H34" s="331" t="s">
        <v>410</v>
      </c>
    </row>
    <row r="35" spans="2:8" x14ac:dyDescent="0.3">
      <c r="B35" s="636" t="s">
        <v>143</v>
      </c>
      <c r="C35" s="637"/>
      <c r="D35" s="523">
        <v>0</v>
      </c>
      <c r="E35" s="334">
        <f>IFERROR(D35/Overview!$D$31,0)</f>
        <v>0</v>
      </c>
      <c r="F35" s="330" t="s">
        <v>410</v>
      </c>
      <c r="G35" s="327" t="s">
        <v>410</v>
      </c>
      <c r="H35" s="331" t="s">
        <v>410</v>
      </c>
    </row>
    <row r="36" spans="2:8" x14ac:dyDescent="0.3">
      <c r="B36" s="636" t="s">
        <v>143</v>
      </c>
      <c r="C36" s="637"/>
      <c r="D36" s="523">
        <v>0</v>
      </c>
      <c r="E36" s="334">
        <f>IFERROR(D36/Overview!$D$31,0)</f>
        <v>0</v>
      </c>
      <c r="F36" s="330" t="s">
        <v>410</v>
      </c>
      <c r="G36" s="327" t="s">
        <v>410</v>
      </c>
      <c r="H36" s="331" t="s">
        <v>410</v>
      </c>
    </row>
    <row r="37" spans="2:8" x14ac:dyDescent="0.3">
      <c r="B37" s="636" t="s">
        <v>143</v>
      </c>
      <c r="C37" s="637"/>
      <c r="D37" s="523">
        <v>0</v>
      </c>
      <c r="E37" s="334">
        <f>IFERROR(D37/Overview!$D$31,0)</f>
        <v>0</v>
      </c>
      <c r="F37" s="330" t="s">
        <v>410</v>
      </c>
      <c r="G37" s="327" t="s">
        <v>410</v>
      </c>
      <c r="H37" s="331" t="s">
        <v>410</v>
      </c>
    </row>
    <row r="38" spans="2:8" x14ac:dyDescent="0.3">
      <c r="B38" s="636" t="s">
        <v>143</v>
      </c>
      <c r="C38" s="637"/>
      <c r="D38" s="523">
        <v>0</v>
      </c>
      <c r="E38" s="334">
        <f>IFERROR(D38/Overview!$D$31,0)</f>
        <v>0</v>
      </c>
      <c r="F38" s="330" t="s">
        <v>410</v>
      </c>
      <c r="G38" s="327" t="s">
        <v>410</v>
      </c>
      <c r="H38" s="331" t="s">
        <v>410</v>
      </c>
    </row>
    <row r="39" spans="2:8" x14ac:dyDescent="0.3">
      <c r="B39" s="636" t="s">
        <v>143</v>
      </c>
      <c r="C39" s="637"/>
      <c r="D39" s="523">
        <v>0</v>
      </c>
      <c r="E39" s="334">
        <f>IFERROR(D39/Overview!$D$31,0)</f>
        <v>0</v>
      </c>
      <c r="F39" s="330" t="s">
        <v>410</v>
      </c>
      <c r="G39" s="327" t="s">
        <v>410</v>
      </c>
      <c r="H39" s="331" t="s">
        <v>410</v>
      </c>
    </row>
    <row r="40" spans="2:8" x14ac:dyDescent="0.3">
      <c r="B40" s="636" t="s">
        <v>143</v>
      </c>
      <c r="C40" s="637"/>
      <c r="D40" s="523">
        <v>0</v>
      </c>
      <c r="E40" s="334">
        <f>IFERROR(D40/Overview!$D$31,0)</f>
        <v>0</v>
      </c>
      <c r="F40" s="330" t="s">
        <v>410</v>
      </c>
      <c r="G40" s="327" t="s">
        <v>410</v>
      </c>
      <c r="H40" s="331" t="s">
        <v>410</v>
      </c>
    </row>
    <row r="41" spans="2:8" x14ac:dyDescent="0.3">
      <c r="B41" s="636" t="s">
        <v>143</v>
      </c>
      <c r="C41" s="637"/>
      <c r="D41" s="523">
        <v>0</v>
      </c>
      <c r="E41" s="334">
        <f>IFERROR(D41/Overview!$D$31,0)</f>
        <v>0</v>
      </c>
      <c r="F41" s="330" t="s">
        <v>410</v>
      </c>
      <c r="G41" s="327" t="s">
        <v>410</v>
      </c>
      <c r="H41" s="331" t="s">
        <v>410</v>
      </c>
    </row>
    <row r="42" spans="2:8" x14ac:dyDescent="0.3">
      <c r="B42" s="636" t="s">
        <v>143</v>
      </c>
      <c r="C42" s="637"/>
      <c r="D42" s="523">
        <v>0</v>
      </c>
      <c r="E42" s="334">
        <f>IFERROR(D42/Overview!$D$31,0)</f>
        <v>0</v>
      </c>
      <c r="F42" s="330" t="s">
        <v>410</v>
      </c>
      <c r="G42" s="327" t="s">
        <v>410</v>
      </c>
      <c r="H42" s="331" t="s">
        <v>410</v>
      </c>
    </row>
    <row r="43" spans="2:8" x14ac:dyDescent="0.3">
      <c r="B43" s="636" t="s">
        <v>143</v>
      </c>
      <c r="C43" s="637"/>
      <c r="D43" s="523">
        <v>0</v>
      </c>
      <c r="E43" s="334">
        <f>IFERROR(D43/Overview!$D$31,0)</f>
        <v>0</v>
      </c>
      <c r="F43" s="330" t="s">
        <v>410</v>
      </c>
      <c r="G43" s="327" t="s">
        <v>410</v>
      </c>
      <c r="H43" s="331" t="s">
        <v>410</v>
      </c>
    </row>
    <row r="44" spans="2:8" x14ac:dyDescent="0.3">
      <c r="B44" s="636" t="s">
        <v>143</v>
      </c>
      <c r="C44" s="637"/>
      <c r="D44" s="523">
        <v>0</v>
      </c>
      <c r="E44" s="334">
        <f>IFERROR(D44/Overview!$D$31,0)</f>
        <v>0</v>
      </c>
      <c r="F44" s="330" t="s">
        <v>410</v>
      </c>
      <c r="G44" s="327" t="s">
        <v>410</v>
      </c>
      <c r="H44" s="331" t="s">
        <v>410</v>
      </c>
    </row>
    <row r="45" spans="2:8" x14ac:dyDescent="0.3">
      <c r="B45" s="636" t="s">
        <v>143</v>
      </c>
      <c r="C45" s="637"/>
      <c r="D45" s="523">
        <v>0</v>
      </c>
      <c r="E45" s="334">
        <f>IFERROR(D45/Overview!$D$31,0)</f>
        <v>0</v>
      </c>
      <c r="F45" s="330" t="s">
        <v>410</v>
      </c>
      <c r="G45" s="327" t="s">
        <v>410</v>
      </c>
      <c r="H45" s="331" t="s">
        <v>410</v>
      </c>
    </row>
    <row r="46" spans="2:8" x14ac:dyDescent="0.3">
      <c r="B46" s="636" t="s">
        <v>143</v>
      </c>
      <c r="C46" s="637"/>
      <c r="D46" s="523">
        <v>0</v>
      </c>
      <c r="E46" s="334">
        <f>IFERROR(D46/Overview!$D$31,0)</f>
        <v>0</v>
      </c>
      <c r="F46" s="330" t="s">
        <v>410</v>
      </c>
      <c r="G46" s="327" t="s">
        <v>410</v>
      </c>
      <c r="H46" s="331" t="s">
        <v>410</v>
      </c>
    </row>
    <row r="47" spans="2:8" x14ac:dyDescent="0.3">
      <c r="B47" s="636" t="s">
        <v>143</v>
      </c>
      <c r="C47" s="637"/>
      <c r="D47" s="523">
        <v>0</v>
      </c>
      <c r="E47" s="334">
        <f>IFERROR(D47/Overview!$D$31,0)</f>
        <v>0</v>
      </c>
      <c r="F47" s="330" t="s">
        <v>410</v>
      </c>
      <c r="G47" s="327" t="s">
        <v>410</v>
      </c>
      <c r="H47" s="331" t="s">
        <v>410</v>
      </c>
    </row>
    <row r="48" spans="2:8" x14ac:dyDescent="0.3">
      <c r="B48" s="636" t="s">
        <v>143</v>
      </c>
      <c r="C48" s="637"/>
      <c r="D48" s="523">
        <v>0</v>
      </c>
      <c r="E48" s="334">
        <f>IFERROR(D48/Overview!$D$31,0)</f>
        <v>0</v>
      </c>
      <c r="F48" s="330" t="s">
        <v>410</v>
      </c>
      <c r="G48" s="327" t="s">
        <v>410</v>
      </c>
      <c r="H48" s="331" t="s">
        <v>410</v>
      </c>
    </row>
    <row r="49" spans="2:8" x14ac:dyDescent="0.3">
      <c r="B49" s="636" t="s">
        <v>143</v>
      </c>
      <c r="C49" s="637"/>
      <c r="D49" s="523">
        <v>0</v>
      </c>
      <c r="E49" s="334">
        <f>IFERROR(D49/Overview!$D$31,0)</f>
        <v>0</v>
      </c>
      <c r="F49" s="330" t="s">
        <v>410</v>
      </c>
      <c r="G49" s="327" t="s">
        <v>410</v>
      </c>
      <c r="H49" s="331" t="s">
        <v>410</v>
      </c>
    </row>
    <row r="50" spans="2:8" x14ac:dyDescent="0.3">
      <c r="B50" s="636" t="s">
        <v>143</v>
      </c>
      <c r="C50" s="637"/>
      <c r="D50" s="523">
        <v>0</v>
      </c>
      <c r="E50" s="334">
        <f>IFERROR(D50/Overview!$D$31,0)</f>
        <v>0</v>
      </c>
      <c r="F50" s="330" t="s">
        <v>410</v>
      </c>
      <c r="G50" s="327" t="s">
        <v>410</v>
      </c>
      <c r="H50" s="331" t="s">
        <v>410</v>
      </c>
    </row>
    <row r="51" spans="2:8" x14ac:dyDescent="0.3">
      <c r="B51" s="636" t="s">
        <v>143</v>
      </c>
      <c r="C51" s="637"/>
      <c r="D51" s="523">
        <v>0</v>
      </c>
      <c r="E51" s="334">
        <f>IFERROR(D51/Overview!$D$31,0)</f>
        <v>0</v>
      </c>
      <c r="F51" s="330" t="s">
        <v>410</v>
      </c>
      <c r="G51" s="327" t="s">
        <v>410</v>
      </c>
      <c r="H51" s="331" t="s">
        <v>410</v>
      </c>
    </row>
    <row r="52" spans="2:8" x14ac:dyDescent="0.3">
      <c r="B52" s="636" t="s">
        <v>143</v>
      </c>
      <c r="C52" s="637"/>
      <c r="D52" s="523">
        <v>0</v>
      </c>
      <c r="E52" s="334">
        <f>IFERROR(D52/Overview!$D$31,0)</f>
        <v>0</v>
      </c>
      <c r="F52" s="330" t="s">
        <v>410</v>
      </c>
      <c r="G52" s="327" t="s">
        <v>410</v>
      </c>
      <c r="H52" s="331" t="s">
        <v>410</v>
      </c>
    </row>
    <row r="53" spans="2:8" x14ac:dyDescent="0.3">
      <c r="B53" s="636" t="s">
        <v>143</v>
      </c>
      <c r="C53" s="637"/>
      <c r="D53" s="523">
        <v>0</v>
      </c>
      <c r="E53" s="334">
        <f>IFERROR(D53/Overview!$D$31,0)</f>
        <v>0</v>
      </c>
      <c r="F53" s="330" t="s">
        <v>410</v>
      </c>
      <c r="G53" s="327" t="s">
        <v>410</v>
      </c>
      <c r="H53" s="331" t="s">
        <v>410</v>
      </c>
    </row>
    <row r="54" spans="2:8" x14ac:dyDescent="0.3">
      <c r="B54" s="636" t="s">
        <v>143</v>
      </c>
      <c r="C54" s="637"/>
      <c r="D54" s="523">
        <v>0</v>
      </c>
      <c r="E54" s="334">
        <f>IFERROR(D54/Overview!$D$31,0)</f>
        <v>0</v>
      </c>
      <c r="F54" s="330" t="s">
        <v>410</v>
      </c>
      <c r="G54" s="327" t="s">
        <v>410</v>
      </c>
      <c r="H54" s="331" t="s">
        <v>410</v>
      </c>
    </row>
    <row r="55" spans="2:8" x14ac:dyDescent="0.3">
      <c r="B55" s="636" t="s">
        <v>143</v>
      </c>
      <c r="C55" s="637"/>
      <c r="D55" s="523">
        <v>0</v>
      </c>
      <c r="E55" s="334">
        <f>IFERROR(D55/Overview!$D$31,0)</f>
        <v>0</v>
      </c>
      <c r="F55" s="330" t="s">
        <v>410</v>
      </c>
      <c r="G55" s="327" t="s">
        <v>410</v>
      </c>
      <c r="H55" s="331" t="s">
        <v>410</v>
      </c>
    </row>
    <row r="56" spans="2:8" x14ac:dyDescent="0.3">
      <c r="B56" s="636" t="s">
        <v>143</v>
      </c>
      <c r="C56" s="637"/>
      <c r="D56" s="523">
        <v>0</v>
      </c>
      <c r="E56" s="334">
        <f>IFERROR(D56/Overview!$D$31,0)</f>
        <v>0</v>
      </c>
      <c r="F56" s="330" t="s">
        <v>410</v>
      </c>
      <c r="G56" s="327" t="s">
        <v>410</v>
      </c>
      <c r="H56" s="331" t="s">
        <v>410</v>
      </c>
    </row>
    <row r="57" spans="2:8" x14ac:dyDescent="0.3">
      <c r="B57" s="636" t="s">
        <v>143</v>
      </c>
      <c r="C57" s="637"/>
      <c r="D57" s="523">
        <v>0</v>
      </c>
      <c r="E57" s="334">
        <f>IFERROR(D57/Overview!$D$31,0)</f>
        <v>0</v>
      </c>
      <c r="F57" s="330" t="s">
        <v>410</v>
      </c>
      <c r="G57" s="327" t="s">
        <v>410</v>
      </c>
      <c r="H57" s="331" t="s">
        <v>410</v>
      </c>
    </row>
    <row r="58" spans="2:8" x14ac:dyDescent="0.3">
      <c r="B58" s="636" t="s">
        <v>143</v>
      </c>
      <c r="C58" s="637"/>
      <c r="D58" s="523">
        <v>0</v>
      </c>
      <c r="E58" s="334">
        <f>IFERROR(D58/Overview!$D$31,0)</f>
        <v>0</v>
      </c>
      <c r="F58" s="330" t="s">
        <v>410</v>
      </c>
      <c r="G58" s="327" t="s">
        <v>410</v>
      </c>
      <c r="H58" s="331" t="s">
        <v>410</v>
      </c>
    </row>
    <row r="59" spans="2:8" x14ac:dyDescent="0.3">
      <c r="B59" s="636" t="s">
        <v>143</v>
      </c>
      <c r="C59" s="637"/>
      <c r="D59" s="523">
        <v>0</v>
      </c>
      <c r="E59" s="334">
        <f>IFERROR(D59/Overview!$D$31,0)</f>
        <v>0</v>
      </c>
      <c r="F59" s="330" t="s">
        <v>410</v>
      </c>
      <c r="G59" s="327" t="s">
        <v>410</v>
      </c>
      <c r="H59" s="331" t="s">
        <v>410</v>
      </c>
    </row>
    <row r="60" spans="2:8" x14ac:dyDescent="0.3">
      <c r="B60" s="636" t="s">
        <v>143</v>
      </c>
      <c r="C60" s="637"/>
      <c r="D60" s="523">
        <v>0</v>
      </c>
      <c r="E60" s="334">
        <f>IFERROR(D60/Overview!$D$31,0)</f>
        <v>0</v>
      </c>
      <c r="F60" s="330" t="s">
        <v>410</v>
      </c>
      <c r="G60" s="327" t="s">
        <v>410</v>
      </c>
      <c r="H60" s="331" t="s">
        <v>410</v>
      </c>
    </row>
    <row r="61" spans="2:8" x14ac:dyDescent="0.3">
      <c r="B61" s="636" t="s">
        <v>143</v>
      </c>
      <c r="C61" s="637"/>
      <c r="D61" s="523">
        <v>0</v>
      </c>
      <c r="E61" s="334">
        <f>IFERROR(D61/Overview!$D$31,0)</f>
        <v>0</v>
      </c>
      <c r="F61" s="330" t="s">
        <v>410</v>
      </c>
      <c r="G61" s="327" t="s">
        <v>410</v>
      </c>
      <c r="H61" s="331" t="s">
        <v>410</v>
      </c>
    </row>
    <row r="62" spans="2:8" x14ac:dyDescent="0.3">
      <c r="B62" s="636" t="s">
        <v>143</v>
      </c>
      <c r="C62" s="637"/>
      <c r="D62" s="523">
        <v>0</v>
      </c>
      <c r="E62" s="334">
        <f>IFERROR(D62/Overview!$D$31,0)</f>
        <v>0</v>
      </c>
      <c r="F62" s="330" t="s">
        <v>410</v>
      </c>
      <c r="G62" s="327" t="s">
        <v>410</v>
      </c>
      <c r="H62" s="331" t="s">
        <v>410</v>
      </c>
    </row>
    <row r="63" spans="2:8" x14ac:dyDescent="0.3">
      <c r="B63" s="636" t="s">
        <v>143</v>
      </c>
      <c r="C63" s="637"/>
      <c r="D63" s="523">
        <v>0</v>
      </c>
      <c r="E63" s="334">
        <f>IFERROR(D63/Overview!$D$31,0)</f>
        <v>0</v>
      </c>
      <c r="F63" s="330" t="s">
        <v>410</v>
      </c>
      <c r="G63" s="327" t="s">
        <v>410</v>
      </c>
      <c r="H63" s="331" t="s">
        <v>410</v>
      </c>
    </row>
    <row r="64" spans="2:8" x14ac:dyDescent="0.3">
      <c r="B64" s="636" t="s">
        <v>143</v>
      </c>
      <c r="C64" s="637"/>
      <c r="D64" s="523">
        <v>0</v>
      </c>
      <c r="E64" s="334">
        <f>IFERROR(D64/Overview!$D$31,0)</f>
        <v>0</v>
      </c>
      <c r="F64" s="330" t="s">
        <v>410</v>
      </c>
      <c r="G64" s="327" t="s">
        <v>410</v>
      </c>
      <c r="H64" s="331" t="s">
        <v>410</v>
      </c>
    </row>
    <row r="65" spans="2:8" x14ac:dyDescent="0.3">
      <c r="B65" s="638" t="s">
        <v>143</v>
      </c>
      <c r="C65" s="639"/>
      <c r="D65" s="523">
        <v>0</v>
      </c>
      <c r="E65" s="334">
        <f>IFERROR(D65/Overview!$D$31,0)</f>
        <v>0</v>
      </c>
      <c r="F65" s="330" t="s">
        <v>410</v>
      </c>
      <c r="G65" s="327" t="s">
        <v>410</v>
      </c>
      <c r="H65" s="331" t="s">
        <v>410</v>
      </c>
    </row>
    <row r="66" spans="2:8" x14ac:dyDescent="0.3">
      <c r="B66" s="520"/>
      <c r="C66" s="521"/>
      <c r="D66" s="332">
        <f>SUM(D16:D65)</f>
        <v>0</v>
      </c>
      <c r="E66" s="335">
        <f>SUM(E16:E65)</f>
        <v>0</v>
      </c>
      <c r="F66" s="246"/>
      <c r="G66" s="245"/>
      <c r="H66" s="325"/>
    </row>
    <row r="67" spans="2:8" x14ac:dyDescent="0.3">
      <c r="B67" s="25"/>
      <c r="C67" s="30"/>
      <c r="D67" s="30"/>
      <c r="E67" s="37" t="b">
        <f>IF(E66&gt;5000,TRUE,FALSE)</f>
        <v>0</v>
      </c>
      <c r="F67" s="242"/>
      <c r="G67" s="305"/>
      <c r="H67" s="326"/>
    </row>
  </sheetData>
  <sheetProtection sheet="1" objects="1" scenarios="1"/>
  <protectedRanges>
    <protectedRange sqref="F16:H65 B16:D65" name="Investment Summary"/>
  </protectedRanges>
  <mergeCells count="51">
    <mergeCell ref="B4:H9"/>
    <mergeCell ref="B16:C16"/>
    <mergeCell ref="B19:C19"/>
    <mergeCell ref="B20:C20"/>
    <mergeCell ref="B21:C21"/>
    <mergeCell ref="B17:C17"/>
    <mergeCell ref="B18:C18"/>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9:C59"/>
    <mergeCell ref="B56:C56"/>
    <mergeCell ref="B57:C57"/>
    <mergeCell ref="B58:C58"/>
    <mergeCell ref="B65:C65"/>
    <mergeCell ref="B60:C60"/>
    <mergeCell ref="B61:C61"/>
    <mergeCell ref="B62:C62"/>
    <mergeCell ref="B63:C63"/>
    <mergeCell ref="B64:C64"/>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s>
  <conditionalFormatting sqref="H16:H65">
    <cfRule type="expression" dxfId="0" priority="1">
      <formula>AND(H16&gt;1,G16="Y")</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0ED1-37F0-4F26-AF9A-AA5791762221}">
  <sheetPr>
    <pageSetUpPr fitToPage="1"/>
  </sheetPr>
  <dimension ref="B1:S20"/>
  <sheetViews>
    <sheetView showGridLines="0" topLeftCell="K6" workbookViewId="0">
      <selection activeCell="S8" sqref="S8"/>
    </sheetView>
  </sheetViews>
  <sheetFormatPr defaultColWidth="18.33203125" defaultRowHeight="14.4" x14ac:dyDescent="0.3"/>
  <cols>
    <col min="1" max="1" width="2.6640625" style="451" customWidth="1"/>
    <col min="2" max="2" width="4.33203125" style="451" customWidth="1"/>
    <col min="3" max="14" width="9.109375" style="451" customWidth="1"/>
    <col min="15" max="15" width="6.33203125" style="451" customWidth="1"/>
    <col min="16" max="16" width="8" style="451" customWidth="1"/>
    <col min="17" max="17" width="36.44140625" style="451" customWidth="1"/>
    <col min="18" max="18" width="58.5546875" style="451" customWidth="1"/>
    <col min="19" max="16384" width="18.33203125" style="451"/>
  </cols>
  <sheetData>
    <row r="1" spans="2:19" s="2" customFormat="1" ht="15.6" x14ac:dyDescent="0.3">
      <c r="B1" s="2" t="s">
        <v>0</v>
      </c>
    </row>
    <row r="2" spans="2:19" ht="31.5" customHeight="1" x14ac:dyDescent="0.45">
      <c r="B2" s="509"/>
      <c r="C2" s="652"/>
      <c r="D2" s="652"/>
      <c r="E2" s="652"/>
      <c r="F2" s="652"/>
      <c r="G2" s="652"/>
      <c r="H2" s="652"/>
      <c r="I2" s="652"/>
      <c r="J2" s="652"/>
      <c r="K2" s="652"/>
      <c r="L2" s="652"/>
      <c r="M2" s="652"/>
      <c r="N2" s="652"/>
      <c r="O2" s="652"/>
      <c r="P2" s="652"/>
      <c r="Q2" s="652"/>
      <c r="R2" s="652"/>
      <c r="S2" s="509"/>
    </row>
    <row r="3" spans="2:19" ht="45" customHeight="1" x14ac:dyDescent="0.3">
      <c r="B3" s="509"/>
      <c r="C3" s="509"/>
      <c r="D3" s="650" t="s">
        <v>411</v>
      </c>
      <c r="E3" s="650"/>
      <c r="F3" s="650"/>
      <c r="G3" s="650"/>
      <c r="H3" s="650"/>
      <c r="I3" s="650"/>
      <c r="J3" s="650"/>
      <c r="K3" s="650"/>
      <c r="L3" s="650"/>
      <c r="M3" s="650"/>
      <c r="N3" s="650"/>
      <c r="O3" s="509"/>
      <c r="Q3" s="509"/>
      <c r="R3" s="509"/>
      <c r="S3" s="509"/>
    </row>
    <row r="4" spans="2:19" ht="45" customHeight="1" x14ac:dyDescent="0.3">
      <c r="B4" s="509"/>
      <c r="C4" s="511" t="s">
        <v>29</v>
      </c>
      <c r="D4" s="512">
        <v>0.3</v>
      </c>
      <c r="E4" s="512">
        <v>0.4</v>
      </c>
      <c r="F4" s="512">
        <v>0.5</v>
      </c>
      <c r="G4" s="512">
        <v>0.6</v>
      </c>
      <c r="H4" s="512">
        <v>0.7</v>
      </c>
      <c r="I4" s="513">
        <v>0.8</v>
      </c>
      <c r="J4" s="514">
        <v>0.9</v>
      </c>
      <c r="K4" s="512">
        <v>1</v>
      </c>
      <c r="L4" s="512">
        <v>1.1000000000000001</v>
      </c>
      <c r="M4" s="512">
        <v>1.2</v>
      </c>
      <c r="N4" s="512" t="s">
        <v>412</v>
      </c>
      <c r="O4" s="509"/>
      <c r="P4" s="653" t="s">
        <v>413</v>
      </c>
      <c r="Q4" s="654"/>
      <c r="R4" s="654"/>
      <c r="S4" s="655"/>
    </row>
    <row r="5" spans="2:19" ht="45" customHeight="1" x14ac:dyDescent="0.3">
      <c r="B5" s="651" t="s">
        <v>414</v>
      </c>
      <c r="C5" s="512">
        <v>0.3</v>
      </c>
      <c r="D5" s="452" t="s">
        <v>415</v>
      </c>
      <c r="E5" s="453" t="s">
        <v>416</v>
      </c>
      <c r="F5" s="453" t="s">
        <v>416</v>
      </c>
      <c r="G5" s="453" t="s">
        <v>416</v>
      </c>
      <c r="H5" s="453" t="s">
        <v>416</v>
      </c>
      <c r="I5" s="457" t="s">
        <v>416</v>
      </c>
      <c r="J5" s="455" t="s">
        <v>417</v>
      </c>
      <c r="K5" s="454" t="s">
        <v>417</v>
      </c>
      <c r="L5" s="454" t="s">
        <v>417</v>
      </c>
      <c r="M5" s="454" t="s">
        <v>417</v>
      </c>
      <c r="N5" s="456" t="s">
        <v>418</v>
      </c>
      <c r="O5" s="509"/>
      <c r="P5" s="656"/>
      <c r="Q5" s="657"/>
      <c r="R5" s="657"/>
      <c r="S5" s="658"/>
    </row>
    <row r="6" spans="2:19" ht="45" customHeight="1" x14ac:dyDescent="0.3">
      <c r="B6" s="651"/>
      <c r="C6" s="512">
        <v>0.4</v>
      </c>
      <c r="D6" s="452" t="s">
        <v>415</v>
      </c>
      <c r="E6" s="452" t="s">
        <v>415</v>
      </c>
      <c r="F6" s="453" t="s">
        <v>416</v>
      </c>
      <c r="G6" s="453" t="s">
        <v>416</v>
      </c>
      <c r="H6" s="453" t="s">
        <v>416</v>
      </c>
      <c r="I6" s="457" t="s">
        <v>416</v>
      </c>
      <c r="J6" s="455" t="s">
        <v>417</v>
      </c>
      <c r="K6" s="454" t="s">
        <v>417</v>
      </c>
      <c r="L6" s="454" t="s">
        <v>417</v>
      </c>
      <c r="M6" s="454" t="s">
        <v>417</v>
      </c>
      <c r="N6" s="456" t="s">
        <v>418</v>
      </c>
      <c r="O6" s="509"/>
      <c r="P6" s="509"/>
      <c r="Q6" s="509"/>
      <c r="R6" s="509"/>
      <c r="S6" s="509"/>
    </row>
    <row r="7" spans="2:19" ht="45" customHeight="1" x14ac:dyDescent="0.3">
      <c r="B7" s="651"/>
      <c r="C7" s="512">
        <v>0.5</v>
      </c>
      <c r="D7" s="452" t="s">
        <v>415</v>
      </c>
      <c r="E7" s="452" t="s">
        <v>415</v>
      </c>
      <c r="F7" s="452" t="s">
        <v>415</v>
      </c>
      <c r="G7" s="453" t="s">
        <v>416</v>
      </c>
      <c r="H7" s="453" t="s">
        <v>416</v>
      </c>
      <c r="I7" s="457" t="s">
        <v>416</v>
      </c>
      <c r="J7" s="455" t="s">
        <v>417</v>
      </c>
      <c r="K7" s="454" t="s">
        <v>417</v>
      </c>
      <c r="L7" s="454" t="s">
        <v>417</v>
      </c>
      <c r="M7" s="454" t="s">
        <v>417</v>
      </c>
      <c r="N7" s="456" t="s">
        <v>418</v>
      </c>
      <c r="O7" s="509"/>
      <c r="P7" s="509"/>
      <c r="Q7" s="510" t="s">
        <v>419</v>
      </c>
      <c r="R7" s="510" t="s">
        <v>420</v>
      </c>
      <c r="S7" s="533" t="s">
        <v>421</v>
      </c>
    </row>
    <row r="8" spans="2:19" ht="45" customHeight="1" x14ac:dyDescent="0.3">
      <c r="B8" s="651"/>
      <c r="C8" s="512">
        <v>0.6</v>
      </c>
      <c r="D8" s="452" t="s">
        <v>415</v>
      </c>
      <c r="E8" s="452" t="s">
        <v>415</v>
      </c>
      <c r="F8" s="452" t="s">
        <v>415</v>
      </c>
      <c r="G8" s="452" t="s">
        <v>415</v>
      </c>
      <c r="H8" s="453" t="s">
        <v>416</v>
      </c>
      <c r="I8" s="457" t="s">
        <v>416</v>
      </c>
      <c r="J8" s="455" t="s">
        <v>417</v>
      </c>
      <c r="K8" s="454" t="s">
        <v>417</v>
      </c>
      <c r="L8" s="454" t="s">
        <v>417</v>
      </c>
      <c r="M8" s="454" t="s">
        <v>417</v>
      </c>
      <c r="N8" s="456" t="s">
        <v>418</v>
      </c>
      <c r="O8" s="509"/>
      <c r="P8" s="485" t="s">
        <v>415</v>
      </c>
      <c r="Q8" s="535" t="s">
        <v>422</v>
      </c>
      <c r="R8" s="531" t="s">
        <v>423</v>
      </c>
      <c r="S8" s="534">
        <f>SUMIFS('Unit Summary - Rent Roll'!$H$27:$H$326,'Unit Summary - Rent Roll'!$AJ$27:$AJ$326,'Legacy Resident Reference'!$P8)</f>
        <v>0</v>
      </c>
    </row>
    <row r="9" spans="2:19" ht="45" customHeight="1" x14ac:dyDescent="0.3">
      <c r="B9" s="651"/>
      <c r="C9" s="512">
        <v>0.7</v>
      </c>
      <c r="D9" s="452" t="s">
        <v>415</v>
      </c>
      <c r="E9" s="452" t="s">
        <v>415</v>
      </c>
      <c r="F9" s="452" t="s">
        <v>415</v>
      </c>
      <c r="G9" s="452" t="s">
        <v>415</v>
      </c>
      <c r="H9" s="452" t="s">
        <v>415</v>
      </c>
      <c r="I9" s="457" t="s">
        <v>416</v>
      </c>
      <c r="J9" s="458" t="s">
        <v>424</v>
      </c>
      <c r="K9" s="454" t="s">
        <v>417</v>
      </c>
      <c r="L9" s="454" t="s">
        <v>417</v>
      </c>
      <c r="M9" s="454" t="s">
        <v>417</v>
      </c>
      <c r="N9" s="456" t="s">
        <v>418</v>
      </c>
      <c r="O9" s="509"/>
      <c r="P9" s="486" t="s">
        <v>425</v>
      </c>
      <c r="Q9" s="535" t="s">
        <v>426</v>
      </c>
      <c r="R9" s="531" t="s">
        <v>427</v>
      </c>
      <c r="S9" s="534">
        <f>SUMIFS('Unit Summary - Rent Roll'!$H$27:$H$326,'Unit Summary - Rent Roll'!$AJ$27:$AJ$326,'Legacy Resident Reference'!$P9)</f>
        <v>0</v>
      </c>
    </row>
    <row r="10" spans="2:19" ht="45" customHeight="1" x14ac:dyDescent="0.3">
      <c r="B10" s="651"/>
      <c r="C10" s="516">
        <v>0.8</v>
      </c>
      <c r="D10" s="459" t="s">
        <v>415</v>
      </c>
      <c r="E10" s="459" t="s">
        <v>415</v>
      </c>
      <c r="F10" s="459" t="s">
        <v>415</v>
      </c>
      <c r="G10" s="459" t="s">
        <v>415</v>
      </c>
      <c r="H10" s="459" t="s">
        <v>415</v>
      </c>
      <c r="I10" s="460" t="s">
        <v>415</v>
      </c>
      <c r="J10" s="461" t="s">
        <v>424</v>
      </c>
      <c r="K10" s="462" t="s">
        <v>424</v>
      </c>
      <c r="L10" s="463" t="s">
        <v>417</v>
      </c>
      <c r="M10" s="463" t="s">
        <v>417</v>
      </c>
      <c r="N10" s="464" t="s">
        <v>418</v>
      </c>
      <c r="O10" s="509"/>
      <c r="P10" s="487" t="s">
        <v>416</v>
      </c>
      <c r="Q10" s="535" t="s">
        <v>428</v>
      </c>
      <c r="R10" s="531" t="s">
        <v>423</v>
      </c>
      <c r="S10" s="534">
        <f>SUMIFS('Unit Summary - Rent Roll'!$H$27:$H$326,'Unit Summary - Rent Roll'!$AJ$27:$AJ$326,'Legacy Resident Reference'!$P10)</f>
        <v>0</v>
      </c>
    </row>
    <row r="11" spans="2:19" ht="45" customHeight="1" x14ac:dyDescent="0.3">
      <c r="B11" s="651"/>
      <c r="C11" s="517">
        <v>0.9</v>
      </c>
      <c r="D11" s="465" t="s">
        <v>415</v>
      </c>
      <c r="E11" s="465" t="s">
        <v>415</v>
      </c>
      <c r="F11" s="465" t="s">
        <v>415</v>
      </c>
      <c r="G11" s="465" t="s">
        <v>415</v>
      </c>
      <c r="H11" s="465" t="s">
        <v>415</v>
      </c>
      <c r="I11" s="466" t="s">
        <v>415</v>
      </c>
      <c r="J11" s="467" t="s">
        <v>425</v>
      </c>
      <c r="K11" s="468" t="s">
        <v>424</v>
      </c>
      <c r="L11" s="468" t="s">
        <v>424</v>
      </c>
      <c r="M11" s="469" t="s">
        <v>417</v>
      </c>
      <c r="N11" s="470" t="s">
        <v>418</v>
      </c>
      <c r="O11" s="509"/>
      <c r="P11" s="488" t="s">
        <v>424</v>
      </c>
      <c r="Q11" s="536" t="s">
        <v>429</v>
      </c>
      <c r="R11" s="532" t="s">
        <v>430</v>
      </c>
      <c r="S11" s="534">
        <f>SUMIFS('Unit Summary - Rent Roll'!$H$27:$H$326,'Unit Summary - Rent Roll'!$AJ$27:$AJ$326,'Legacy Resident Reference'!$P11)</f>
        <v>0</v>
      </c>
    </row>
    <row r="12" spans="2:19" ht="45" customHeight="1" x14ac:dyDescent="0.3">
      <c r="B12" s="651"/>
      <c r="C12" s="512">
        <v>1</v>
      </c>
      <c r="D12" s="452" t="s">
        <v>415</v>
      </c>
      <c r="E12" s="452" t="s">
        <v>415</v>
      </c>
      <c r="F12" s="452" t="s">
        <v>415</v>
      </c>
      <c r="G12" s="452" t="s">
        <v>415</v>
      </c>
      <c r="H12" s="452" t="s">
        <v>415</v>
      </c>
      <c r="I12" s="471" t="s">
        <v>415</v>
      </c>
      <c r="J12" s="472" t="s">
        <v>425</v>
      </c>
      <c r="K12" s="473" t="s">
        <v>425</v>
      </c>
      <c r="L12" s="474" t="s">
        <v>424</v>
      </c>
      <c r="M12" s="474" t="s">
        <v>424</v>
      </c>
      <c r="N12" s="456" t="s">
        <v>418</v>
      </c>
      <c r="O12" s="509"/>
      <c r="P12" s="489" t="s">
        <v>417</v>
      </c>
      <c r="Q12" s="536" t="s">
        <v>431</v>
      </c>
      <c r="R12" s="531" t="s">
        <v>432</v>
      </c>
      <c r="S12" s="534">
        <f>SUMIFS('Unit Summary - Rent Roll'!$H$27:$H$326,'Unit Summary - Rent Roll'!$AJ$27:$AJ$326,'Legacy Resident Reference'!$P12)</f>
        <v>0</v>
      </c>
    </row>
    <row r="13" spans="2:19" ht="45" customHeight="1" x14ac:dyDescent="0.3">
      <c r="B13" s="651"/>
      <c r="C13" s="518">
        <v>1.1000000000000001</v>
      </c>
      <c r="D13" s="475" t="s">
        <v>415</v>
      </c>
      <c r="E13" s="475" t="s">
        <v>415</v>
      </c>
      <c r="F13" s="475" t="s">
        <v>415</v>
      </c>
      <c r="G13" s="475" t="s">
        <v>415</v>
      </c>
      <c r="H13" s="475" t="s">
        <v>415</v>
      </c>
      <c r="I13" s="476" t="s">
        <v>415</v>
      </c>
      <c r="J13" s="477" t="s">
        <v>425</v>
      </c>
      <c r="K13" s="478" t="s">
        <v>425</v>
      </c>
      <c r="L13" s="478" t="s">
        <v>425</v>
      </c>
      <c r="M13" s="479" t="s">
        <v>424</v>
      </c>
      <c r="N13" s="480" t="s">
        <v>418</v>
      </c>
      <c r="O13" s="509"/>
      <c r="P13" s="490" t="s">
        <v>418</v>
      </c>
      <c r="Q13" s="515" t="s">
        <v>433</v>
      </c>
      <c r="R13" s="531" t="s">
        <v>432</v>
      </c>
      <c r="S13" s="534">
        <f>SUMIFS('Unit Summary - Rent Roll'!$H$27:$H$326,'Unit Summary - Rent Roll'!$AJ$27:$AJ$326,'Legacy Resident Reference'!$P13)</f>
        <v>0</v>
      </c>
    </row>
    <row r="14" spans="2:19" ht="45" customHeight="1" x14ac:dyDescent="0.3">
      <c r="B14" s="651"/>
      <c r="C14" s="516">
        <v>1.2</v>
      </c>
      <c r="D14" s="459" t="s">
        <v>415</v>
      </c>
      <c r="E14" s="459" t="s">
        <v>415</v>
      </c>
      <c r="F14" s="459" t="s">
        <v>415</v>
      </c>
      <c r="G14" s="459" t="s">
        <v>415</v>
      </c>
      <c r="H14" s="459" t="s">
        <v>415</v>
      </c>
      <c r="I14" s="460" t="s">
        <v>415</v>
      </c>
      <c r="J14" s="481" t="s">
        <v>425</v>
      </c>
      <c r="K14" s="482" t="s">
        <v>425</v>
      </c>
      <c r="L14" s="482" t="s">
        <v>425</v>
      </c>
      <c r="M14" s="482" t="s">
        <v>425</v>
      </c>
      <c r="N14" s="464" t="s">
        <v>418</v>
      </c>
      <c r="O14" s="509"/>
      <c r="P14" s="491" t="s">
        <v>434</v>
      </c>
      <c r="Q14" s="515" t="s">
        <v>435</v>
      </c>
      <c r="R14" s="531" t="s">
        <v>436</v>
      </c>
      <c r="S14" s="534">
        <f>SUMIFS('Unit Summary - Rent Roll'!$H$27:$H$326,'Unit Summary - Rent Roll'!$AJ$27:$AJ$326,'Legacy Resident Reference'!$P14)</f>
        <v>0</v>
      </c>
    </row>
    <row r="15" spans="2:19" ht="45" customHeight="1" x14ac:dyDescent="0.3">
      <c r="B15" s="651"/>
      <c r="C15" s="517" t="s">
        <v>437</v>
      </c>
      <c r="D15" s="465" t="s">
        <v>415</v>
      </c>
      <c r="E15" s="465" t="s">
        <v>415</v>
      </c>
      <c r="F15" s="465" t="s">
        <v>415</v>
      </c>
      <c r="G15" s="465" t="s">
        <v>415</v>
      </c>
      <c r="H15" s="465" t="s">
        <v>415</v>
      </c>
      <c r="I15" s="466" t="s">
        <v>415</v>
      </c>
      <c r="J15" s="483">
        <v>4</v>
      </c>
      <c r="K15" s="484">
        <v>4</v>
      </c>
      <c r="L15" s="484">
        <v>4</v>
      </c>
      <c r="M15" s="484">
        <v>4</v>
      </c>
      <c r="N15" s="484">
        <v>4</v>
      </c>
      <c r="O15" s="509"/>
    </row>
    <row r="16" spans="2:19" s="509" customFormat="1" x14ac:dyDescent="0.3"/>
    <row r="17" s="509" customFormat="1" x14ac:dyDescent="0.3"/>
    <row r="18" s="509" customFormat="1" x14ac:dyDescent="0.3"/>
    <row r="19" s="509" customFormat="1" x14ac:dyDescent="0.3"/>
    <row r="20" s="509" customFormat="1" x14ac:dyDescent="0.3"/>
  </sheetData>
  <sheetProtection sheet="1" objects="1" scenarios="1"/>
  <protectedRanges>
    <protectedRange sqref="C5:C15 D4:N4" name="Overview"/>
  </protectedRanges>
  <mergeCells count="4">
    <mergeCell ref="D3:N3"/>
    <mergeCell ref="B5:B15"/>
    <mergeCell ref="C2:R2"/>
    <mergeCell ref="P4:S5"/>
  </mergeCells>
  <pageMargins left="0.7" right="0.7" top="0.75" bottom="0.75" header="0.3" footer="0.3"/>
  <pageSetup paperSize="3"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A065A-80CF-4D36-86BC-061DFC8EE65A}">
  <dimension ref="B1:AB58"/>
  <sheetViews>
    <sheetView showGridLines="0" topLeftCell="I1" zoomScaleNormal="100" workbookViewId="0">
      <selection activeCell="S41" sqref="S41"/>
    </sheetView>
  </sheetViews>
  <sheetFormatPr defaultColWidth="15.6640625" defaultRowHeight="13.8" x14ac:dyDescent="0.3"/>
  <cols>
    <col min="1" max="1" width="2.6640625" style="1" customWidth="1"/>
    <col min="2" max="10" width="15.6640625" style="1"/>
    <col min="11" max="23" width="15.6640625" style="1" customWidth="1"/>
    <col min="24" max="16384" width="15.6640625" style="1"/>
  </cols>
  <sheetData>
    <row r="1" spans="2:28" s="2" customFormat="1" ht="15.6" x14ac:dyDescent="0.3">
      <c r="B1" s="2" t="s">
        <v>0</v>
      </c>
    </row>
    <row r="2" spans="2:28" x14ac:dyDescent="0.3">
      <c r="B2" s="1" t="s">
        <v>438</v>
      </c>
    </row>
    <row r="3" spans="2:28" x14ac:dyDescent="0.3">
      <c r="L3" s="69"/>
    </row>
    <row r="4" spans="2:28" s="5" customFormat="1" ht="15" customHeight="1" x14ac:dyDescent="0.3">
      <c r="B4" s="61" t="s">
        <v>3</v>
      </c>
      <c r="C4" s="189" t="s">
        <v>4</v>
      </c>
      <c r="D4" s="62" t="s">
        <v>5</v>
      </c>
      <c r="E4" s="63" t="s">
        <v>6</v>
      </c>
      <c r="L4" s="69"/>
    </row>
    <row r="5" spans="2:28" x14ac:dyDescent="0.3">
      <c r="L5" s="69"/>
    </row>
    <row r="6" spans="2:28" x14ac:dyDescent="0.3">
      <c r="B6" s="22" t="s">
        <v>439</v>
      </c>
      <c r="C6" s="440">
        <v>2025</v>
      </c>
      <c r="I6" s="22" t="s">
        <v>440</v>
      </c>
      <c r="J6" s="440">
        <v>2025</v>
      </c>
    </row>
    <row r="8" spans="2:28" x14ac:dyDescent="0.3">
      <c r="B8" s="6" t="s">
        <v>441</v>
      </c>
      <c r="C8" s="7"/>
      <c r="D8" s="7"/>
      <c r="E8" s="7"/>
      <c r="F8" s="7"/>
      <c r="G8" s="8"/>
      <c r="I8" s="6" t="s">
        <v>442</v>
      </c>
      <c r="J8" s="9"/>
      <c r="K8" s="560" t="s">
        <v>366</v>
      </c>
      <c r="L8" s="560"/>
      <c r="M8" s="560"/>
      <c r="N8" s="560"/>
      <c r="O8" s="560"/>
      <c r="P8" s="560"/>
      <c r="Q8" s="560" t="s">
        <v>443</v>
      </c>
      <c r="R8" s="560"/>
      <c r="S8" s="560"/>
      <c r="T8" s="560"/>
      <c r="U8" s="560"/>
      <c r="V8" s="560"/>
      <c r="W8" s="560" t="s">
        <v>444</v>
      </c>
      <c r="X8" s="560"/>
      <c r="Y8" s="560"/>
      <c r="Z8" s="560"/>
      <c r="AA8" s="560"/>
      <c r="AB8" s="561"/>
    </row>
    <row r="9" spans="2:28" x14ac:dyDescent="0.3">
      <c r="B9" s="301" t="s">
        <v>29</v>
      </c>
      <c r="C9" s="10" t="s">
        <v>30</v>
      </c>
      <c r="D9" s="10" t="s">
        <v>31</v>
      </c>
      <c r="E9" s="10" t="s">
        <v>32</v>
      </c>
      <c r="F9" s="10" t="s">
        <v>33</v>
      </c>
      <c r="G9" s="10" t="s">
        <v>34</v>
      </c>
      <c r="I9" s="621" t="s">
        <v>81</v>
      </c>
      <c r="J9" s="621"/>
      <c r="K9" s="659" t="s">
        <v>363</v>
      </c>
      <c r="L9" s="660"/>
      <c r="M9" s="660"/>
      <c r="N9" s="660"/>
      <c r="O9" s="660"/>
      <c r="P9" s="661"/>
      <c r="Q9" s="659" t="s">
        <v>372</v>
      </c>
      <c r="R9" s="660"/>
      <c r="S9" s="660"/>
      <c r="T9" s="660"/>
      <c r="U9" s="660"/>
      <c r="V9" s="661"/>
      <c r="W9" s="659" t="s">
        <v>383</v>
      </c>
      <c r="X9" s="660"/>
      <c r="Y9" s="660"/>
      <c r="Z9" s="660"/>
      <c r="AA9" s="660"/>
      <c r="AB9" s="661"/>
    </row>
    <row r="10" spans="2:28" x14ac:dyDescent="0.3">
      <c r="B10" s="433">
        <v>0.2</v>
      </c>
      <c r="C10" s="281">
        <f>$B10*$C$26</f>
        <v>353.40000000000003</v>
      </c>
      <c r="D10" s="281">
        <f>$B10*D$26</f>
        <v>378.6</v>
      </c>
      <c r="E10" s="281">
        <f>$B10*E$26</f>
        <v>454.40000000000003</v>
      </c>
      <c r="F10" s="281">
        <v>498</v>
      </c>
      <c r="G10" s="367">
        <f>$B10*G$26</f>
        <v>586</v>
      </c>
      <c r="I10" s="621"/>
      <c r="J10" s="621"/>
      <c r="K10" s="73" t="s">
        <v>82</v>
      </c>
      <c r="L10" s="301" t="s">
        <v>445</v>
      </c>
      <c r="M10" s="301" t="s">
        <v>446</v>
      </c>
      <c r="N10" s="301" t="s">
        <v>447</v>
      </c>
      <c r="O10" s="301" t="s">
        <v>448</v>
      </c>
      <c r="P10" s="301" t="s">
        <v>449</v>
      </c>
      <c r="Q10" s="554" t="s">
        <v>82</v>
      </c>
      <c r="R10" s="555" t="s">
        <v>445</v>
      </c>
      <c r="S10" s="555" t="s">
        <v>446</v>
      </c>
      <c r="T10" s="555" t="s">
        <v>447</v>
      </c>
      <c r="U10" s="555" t="s">
        <v>448</v>
      </c>
      <c r="V10" s="555" t="s">
        <v>449</v>
      </c>
      <c r="W10" s="554" t="s">
        <v>82</v>
      </c>
      <c r="X10" s="301" t="s">
        <v>445</v>
      </c>
      <c r="Y10" s="301" t="s">
        <v>446</v>
      </c>
      <c r="Z10" s="301" t="s">
        <v>447</v>
      </c>
      <c r="AA10" s="301" t="s">
        <v>448</v>
      </c>
      <c r="AB10" s="301" t="s">
        <v>449</v>
      </c>
    </row>
    <row r="11" spans="2:28" x14ac:dyDescent="0.3">
      <c r="B11" s="434">
        <v>0.25</v>
      </c>
      <c r="C11" s="365">
        <f t="shared" ref="C11:C30" si="0">B11*$C$26</f>
        <v>441.75</v>
      </c>
      <c r="D11" s="365">
        <f t="shared" ref="D11:F30" si="1">$B11*D$26</f>
        <v>473.25</v>
      </c>
      <c r="E11" s="365">
        <f t="shared" si="1"/>
        <v>568</v>
      </c>
      <c r="F11" s="365">
        <f t="shared" si="1"/>
        <v>656.5</v>
      </c>
      <c r="G11" s="368">
        <f t="shared" ref="G11:G30" si="2">$B11*G$26</f>
        <v>732.5</v>
      </c>
      <c r="I11" s="11" t="s">
        <v>83</v>
      </c>
      <c r="J11" s="12" t="s">
        <v>84</v>
      </c>
      <c r="K11" s="351" t="str">
        <f>IF(Overview!$D$15="High-rise, Low-rise",'Unit Summary - Rent Roll'!$Z6,"N")</f>
        <v>N</v>
      </c>
      <c r="L11" s="314">
        <v>22</v>
      </c>
      <c r="M11" s="314">
        <v>25</v>
      </c>
      <c r="N11" s="314">
        <v>30</v>
      </c>
      <c r="O11" s="314">
        <v>34</v>
      </c>
      <c r="P11" s="549">
        <v>38</v>
      </c>
      <c r="Q11" s="553" t="str">
        <f>IF(Overview!$D$15="Townhouse, Duplex, Triplex, Fourplex",'Unit Summary - Rent Roll'!$Z6,"N")</f>
        <v>N</v>
      </c>
      <c r="R11" s="552">
        <v>38</v>
      </c>
      <c r="S11" s="316">
        <v>45</v>
      </c>
      <c r="T11" s="316">
        <v>48</v>
      </c>
      <c r="U11" s="316">
        <v>51</v>
      </c>
      <c r="V11" s="550">
        <v>55</v>
      </c>
      <c r="W11" s="553" t="str">
        <f>IF(Overview!$D$15="Single Family Detached, Manufactured Home",'Unit Summary - Rent Roll'!$Z6,"N")</f>
        <v>N</v>
      </c>
      <c r="X11" s="551">
        <v>31</v>
      </c>
      <c r="Y11" s="314">
        <v>36</v>
      </c>
      <c r="Z11" s="314">
        <v>42</v>
      </c>
      <c r="AA11" s="314">
        <v>48</v>
      </c>
      <c r="AB11" s="315">
        <v>55</v>
      </c>
    </row>
    <row r="12" spans="2:28" x14ac:dyDescent="0.3">
      <c r="B12" s="434">
        <v>0.3</v>
      </c>
      <c r="C12" s="365">
        <f t="shared" si="0"/>
        <v>530.1</v>
      </c>
      <c r="D12" s="365">
        <f t="shared" si="1"/>
        <v>567.9</v>
      </c>
      <c r="E12" s="365">
        <f t="shared" si="1"/>
        <v>681.6</v>
      </c>
      <c r="F12" s="365">
        <f t="shared" si="1"/>
        <v>787.8</v>
      </c>
      <c r="G12" s="368">
        <f t="shared" si="2"/>
        <v>879</v>
      </c>
      <c r="I12" s="13"/>
      <c r="J12" s="14" t="s">
        <v>450</v>
      </c>
      <c r="K12" s="352" t="str">
        <f>IF(Overview!$D$15="High-rise, Low-rise",'Unit Summary - Rent Roll'!$Z7,"N")</f>
        <v>N</v>
      </c>
      <c r="L12" s="316">
        <v>34</v>
      </c>
      <c r="M12" s="316">
        <v>40</v>
      </c>
      <c r="N12" s="316">
        <v>55</v>
      </c>
      <c r="O12" s="316">
        <v>69</v>
      </c>
      <c r="P12" s="550">
        <v>84</v>
      </c>
      <c r="Q12" s="553" t="str">
        <f>IF(Overview!$D$15="Townhouse, Duplex, Triplex, Fourplex",'Unit Summary - Rent Roll'!$Z7,"N")</f>
        <v>N</v>
      </c>
      <c r="R12" s="552">
        <v>49</v>
      </c>
      <c r="S12" s="316">
        <v>58</v>
      </c>
      <c r="T12" s="316">
        <v>76</v>
      </c>
      <c r="U12" s="316">
        <v>94</v>
      </c>
      <c r="V12" s="550">
        <v>111</v>
      </c>
      <c r="W12" s="553" t="str">
        <f>IF(Overview!$D$15="Single Family Detached, Manufactured Home",'Unit Summary - Rent Roll'!$Z7,"N")</f>
        <v>N</v>
      </c>
      <c r="X12" s="552">
        <v>81</v>
      </c>
      <c r="Y12" s="316">
        <v>95</v>
      </c>
      <c r="Z12" s="316">
        <v>111</v>
      </c>
      <c r="AA12" s="316">
        <v>128</v>
      </c>
      <c r="AB12" s="317">
        <v>144</v>
      </c>
    </row>
    <row r="13" spans="2:28" x14ac:dyDescent="0.3">
      <c r="B13" s="434">
        <v>0.35</v>
      </c>
      <c r="C13" s="365">
        <f t="shared" si="0"/>
        <v>618.44999999999993</v>
      </c>
      <c r="D13" s="365">
        <f t="shared" si="1"/>
        <v>662.55</v>
      </c>
      <c r="E13" s="365">
        <f t="shared" si="1"/>
        <v>795.19999999999993</v>
      </c>
      <c r="F13" s="365">
        <f t="shared" si="1"/>
        <v>919.09999999999991</v>
      </c>
      <c r="G13" s="368">
        <f t="shared" si="2"/>
        <v>1025.5</v>
      </c>
      <c r="I13" s="13"/>
      <c r="J13" s="14" t="s">
        <v>87</v>
      </c>
      <c r="K13" s="352" t="str">
        <f>IF(Overview!$D$15="High-rise, Low-rise",'Unit Summary - Rent Roll'!$Z8,"N")</f>
        <v>N</v>
      </c>
      <c r="L13" s="316">
        <v>30</v>
      </c>
      <c r="M13" s="316">
        <v>36</v>
      </c>
      <c r="N13" s="316">
        <v>42</v>
      </c>
      <c r="O13" s="316">
        <v>47</v>
      </c>
      <c r="P13" s="550">
        <v>53</v>
      </c>
      <c r="Q13" s="553" t="str">
        <f>IF(Overview!$D$15="Townhouse, Duplex, Triplex, Fourplex",'Unit Summary - Rent Roll'!$Z8,"N")</f>
        <v>N</v>
      </c>
      <c r="R13" s="552">
        <v>39</v>
      </c>
      <c r="S13" s="316">
        <v>46</v>
      </c>
      <c r="T13" s="316">
        <v>54</v>
      </c>
      <c r="U13" s="316">
        <v>61</v>
      </c>
      <c r="V13" s="550">
        <v>68</v>
      </c>
      <c r="W13" s="553" t="str">
        <f>IF(Overview!$D$15="Single Family Detached, Manufactured Home",'Unit Summary - Rent Roll'!$Z8,"N")</f>
        <v>N</v>
      </c>
      <c r="X13" s="552">
        <v>43</v>
      </c>
      <c r="Y13" s="316">
        <v>51</v>
      </c>
      <c r="Z13" s="316">
        <v>60</v>
      </c>
      <c r="AA13" s="316">
        <v>68</v>
      </c>
      <c r="AB13" s="317">
        <v>75</v>
      </c>
    </row>
    <row r="14" spans="2:28" x14ac:dyDescent="0.3">
      <c r="B14" s="434">
        <v>0.4</v>
      </c>
      <c r="C14" s="365">
        <f t="shared" si="0"/>
        <v>706.80000000000007</v>
      </c>
      <c r="D14" s="365">
        <f t="shared" si="1"/>
        <v>757.2</v>
      </c>
      <c r="E14" s="365">
        <f t="shared" si="1"/>
        <v>908.80000000000007</v>
      </c>
      <c r="F14" s="365">
        <f t="shared" si="1"/>
        <v>1050.4000000000001</v>
      </c>
      <c r="G14" s="368">
        <f t="shared" si="2"/>
        <v>1172</v>
      </c>
      <c r="I14" s="13" t="s">
        <v>88</v>
      </c>
      <c r="J14" s="14" t="s">
        <v>84</v>
      </c>
      <c r="K14" s="352" t="str">
        <f>IF(Overview!$D$15="High-rise, Low-rise",'Unit Summary - Rent Roll'!$Z9,"N")</f>
        <v>N</v>
      </c>
      <c r="L14" s="316">
        <v>2</v>
      </c>
      <c r="M14" s="316">
        <v>3</v>
      </c>
      <c r="N14" s="316">
        <v>4</v>
      </c>
      <c r="O14" s="316">
        <v>5</v>
      </c>
      <c r="P14" s="550">
        <v>6</v>
      </c>
      <c r="Q14" s="553" t="str">
        <f>IF(Overview!$D$15="Townhouse, Duplex, Triplex, Fourplex",'Unit Summary - Rent Roll'!$Z9,"N")</f>
        <v>N</v>
      </c>
      <c r="R14" s="552">
        <v>2</v>
      </c>
      <c r="S14" s="316">
        <v>3</v>
      </c>
      <c r="T14" s="316">
        <v>4</v>
      </c>
      <c r="U14" s="316">
        <v>5</v>
      </c>
      <c r="V14" s="550">
        <v>6</v>
      </c>
      <c r="W14" s="553" t="str">
        <f>IF(Overview!$D$15="Single Family Detached, Manufactured Home",'Unit Summary - Rent Roll'!$Z9,"N")</f>
        <v>N</v>
      </c>
      <c r="X14" s="552">
        <v>2</v>
      </c>
      <c r="Y14" s="316">
        <v>3</v>
      </c>
      <c r="Z14" s="316">
        <v>4</v>
      </c>
      <c r="AA14" s="316">
        <v>5</v>
      </c>
      <c r="AB14" s="317">
        <v>6</v>
      </c>
    </row>
    <row r="15" spans="2:28" x14ac:dyDescent="0.3">
      <c r="B15" s="434">
        <v>0.45</v>
      </c>
      <c r="C15" s="365">
        <f t="shared" si="0"/>
        <v>795.15</v>
      </c>
      <c r="D15" s="365">
        <f t="shared" si="1"/>
        <v>851.85</v>
      </c>
      <c r="E15" s="365">
        <f t="shared" si="1"/>
        <v>1022.4</v>
      </c>
      <c r="F15" s="365">
        <f t="shared" si="1"/>
        <v>1181.7</v>
      </c>
      <c r="G15" s="368">
        <f t="shared" si="2"/>
        <v>1318.5</v>
      </c>
      <c r="I15" s="13"/>
      <c r="J15" s="14" t="s">
        <v>89</v>
      </c>
      <c r="K15" s="352" t="str">
        <f>IF(Overview!$D$15="High-rise, Low-rise",'Unit Summary - Rent Roll'!$Z10,"N")</f>
        <v>N</v>
      </c>
      <c r="L15" s="316">
        <v>8</v>
      </c>
      <c r="M15" s="316">
        <v>9</v>
      </c>
      <c r="N15" s="316">
        <v>13</v>
      </c>
      <c r="O15" s="316">
        <v>17</v>
      </c>
      <c r="P15" s="550">
        <v>21</v>
      </c>
      <c r="Q15" s="553" t="str">
        <f>IF(Overview!$D$15="Townhouse, Duplex, Triplex, Fourplex",'Unit Summary - Rent Roll'!$Z10,"N")</f>
        <v>N</v>
      </c>
      <c r="R15" s="552">
        <v>8</v>
      </c>
      <c r="S15" s="316">
        <v>9</v>
      </c>
      <c r="T15" s="316">
        <v>13</v>
      </c>
      <c r="U15" s="316">
        <v>17</v>
      </c>
      <c r="V15" s="550">
        <v>21</v>
      </c>
      <c r="W15" s="553" t="str">
        <f>IF(Overview!$D$15="Single Family Detached, Manufactured Home",'Unit Summary - Rent Roll'!$Z10,"N")</f>
        <v>N</v>
      </c>
      <c r="X15" s="552">
        <v>8</v>
      </c>
      <c r="Y15" s="316">
        <v>9</v>
      </c>
      <c r="Z15" s="316">
        <v>13</v>
      </c>
      <c r="AA15" s="316">
        <v>17</v>
      </c>
      <c r="AB15" s="317">
        <v>21</v>
      </c>
    </row>
    <row r="16" spans="2:28" x14ac:dyDescent="0.3">
      <c r="B16" s="434">
        <v>0.5</v>
      </c>
      <c r="C16" s="365">
        <f t="shared" si="0"/>
        <v>883.5</v>
      </c>
      <c r="D16" s="365">
        <f t="shared" si="1"/>
        <v>946.5</v>
      </c>
      <c r="E16" s="365">
        <f t="shared" si="1"/>
        <v>1136</v>
      </c>
      <c r="F16" s="365">
        <f t="shared" si="1"/>
        <v>1313</v>
      </c>
      <c r="G16" s="368">
        <f t="shared" si="2"/>
        <v>1465</v>
      </c>
      <c r="I16" s="13" t="s">
        <v>90</v>
      </c>
      <c r="J16" s="14" t="s">
        <v>84</v>
      </c>
      <c r="K16" s="352" t="str">
        <f>IF(Overview!$D$15="High-rise, Low-rise",'Unit Summary - Rent Roll'!$Z11,"N")</f>
        <v>N</v>
      </c>
      <c r="L16" s="316">
        <v>6</v>
      </c>
      <c r="M16" s="316">
        <v>7</v>
      </c>
      <c r="N16" s="316">
        <v>10</v>
      </c>
      <c r="O16" s="316">
        <v>13</v>
      </c>
      <c r="P16" s="550">
        <v>16</v>
      </c>
      <c r="Q16" s="553" t="str">
        <f>IF(Overview!$D$15="Townhouse, Duplex, Triplex, Fourplex",'Unit Summary - Rent Roll'!$Z11,"N")</f>
        <v>N</v>
      </c>
      <c r="R16" s="552">
        <v>7</v>
      </c>
      <c r="S16" s="316">
        <v>8</v>
      </c>
      <c r="T16" s="316">
        <v>12</v>
      </c>
      <c r="U16" s="316">
        <v>16</v>
      </c>
      <c r="V16" s="550">
        <v>20</v>
      </c>
      <c r="W16" s="553" t="str">
        <f>IF(Overview!$D$15="Single Family Detached, Manufactured Home",'Unit Summary - Rent Roll'!$Z11,"N")</f>
        <v>N</v>
      </c>
      <c r="X16" s="552">
        <v>7</v>
      </c>
      <c r="Y16" s="316">
        <v>8</v>
      </c>
      <c r="Z16" s="316">
        <v>12</v>
      </c>
      <c r="AA16" s="316">
        <v>16</v>
      </c>
      <c r="AB16" s="317">
        <v>20</v>
      </c>
    </row>
    <row r="17" spans="2:28" x14ac:dyDescent="0.3">
      <c r="B17" s="434">
        <v>0.55000000000000004</v>
      </c>
      <c r="C17" s="365">
        <f t="shared" si="0"/>
        <v>971.85</v>
      </c>
      <c r="D17" s="365">
        <f t="shared" si="1"/>
        <v>1041.1500000000001</v>
      </c>
      <c r="E17" s="365">
        <f t="shared" si="1"/>
        <v>1249.6000000000001</v>
      </c>
      <c r="F17" s="365">
        <f t="shared" si="1"/>
        <v>1444.3000000000002</v>
      </c>
      <c r="G17" s="368">
        <f t="shared" si="2"/>
        <v>1611.5000000000002</v>
      </c>
      <c r="I17" s="13"/>
      <c r="J17" s="14" t="s">
        <v>89</v>
      </c>
      <c r="K17" s="352" t="str">
        <f>IF(Overview!$D$15="High-rise, Low-rise",'Unit Summary - Rent Roll'!$Z12,"N")</f>
        <v>N</v>
      </c>
      <c r="L17" s="316">
        <v>21</v>
      </c>
      <c r="M17" s="316">
        <v>24</v>
      </c>
      <c r="N17" s="316">
        <v>31</v>
      </c>
      <c r="O17" s="316">
        <v>37</v>
      </c>
      <c r="P17" s="550">
        <v>44</v>
      </c>
      <c r="Q17" s="553" t="str">
        <f>IF(Overview!$D$15="Townhouse, Duplex, Triplex, Fourplex",'Unit Summary - Rent Roll'!$Z12,"N")</f>
        <v>N</v>
      </c>
      <c r="R17" s="552">
        <v>26</v>
      </c>
      <c r="S17" s="316">
        <v>30</v>
      </c>
      <c r="T17" s="316">
        <v>38</v>
      </c>
      <c r="U17" s="316">
        <v>47</v>
      </c>
      <c r="V17" s="550">
        <v>55</v>
      </c>
      <c r="W17" s="553" t="str">
        <f>IF(Overview!$D$15="Single Family Detached, Manufactured Home",'Unit Summary - Rent Roll'!$Z12,"N")</f>
        <v>N</v>
      </c>
      <c r="X17" s="552">
        <v>26</v>
      </c>
      <c r="Y17" s="316">
        <v>30</v>
      </c>
      <c r="Z17" s="316">
        <v>38</v>
      </c>
      <c r="AA17" s="316">
        <v>47</v>
      </c>
      <c r="AB17" s="317">
        <v>55</v>
      </c>
    </row>
    <row r="18" spans="2:28" x14ac:dyDescent="0.3">
      <c r="B18" s="434">
        <v>0.6</v>
      </c>
      <c r="C18" s="365">
        <f t="shared" si="0"/>
        <v>1060.2</v>
      </c>
      <c r="D18" s="365">
        <f t="shared" si="1"/>
        <v>1135.8</v>
      </c>
      <c r="E18" s="365">
        <f t="shared" si="1"/>
        <v>1363.2</v>
      </c>
      <c r="F18" s="365">
        <f t="shared" si="1"/>
        <v>1575.6</v>
      </c>
      <c r="G18" s="368">
        <f t="shared" si="2"/>
        <v>1758</v>
      </c>
      <c r="I18" s="15" t="s">
        <v>92</v>
      </c>
      <c r="J18" s="16"/>
      <c r="K18" s="352" t="str">
        <f>IF(Overview!$D$15="High-rise, Low-rise",'Unit Summary - Rent Roll'!$Z13,"N")</f>
        <v>N</v>
      </c>
      <c r="L18" s="316">
        <v>29</v>
      </c>
      <c r="M18" s="316">
        <v>35</v>
      </c>
      <c r="N18" s="316">
        <v>48</v>
      </c>
      <c r="O18" s="316">
        <v>62</v>
      </c>
      <c r="P18" s="550">
        <v>75</v>
      </c>
      <c r="Q18" s="553" t="str">
        <f>IF(Overview!$D$15="Townhouse, Duplex, Triplex, Fourplex",'Unit Summary - Rent Roll'!$Z13,"N")</f>
        <v>N</v>
      </c>
      <c r="R18" s="552">
        <v>36</v>
      </c>
      <c r="S18" s="316">
        <v>42</v>
      </c>
      <c r="T18" s="316">
        <v>59</v>
      </c>
      <c r="U18" s="316">
        <v>75</v>
      </c>
      <c r="V18" s="550">
        <v>92</v>
      </c>
      <c r="W18" s="553" t="str">
        <f>IF(Overview!$D$15="Single Family Detached, Manufactured Home",'Unit Summary - Rent Roll'!$Z13,"N")</f>
        <v>N</v>
      </c>
      <c r="X18" s="552">
        <v>43</v>
      </c>
      <c r="Y18" s="316">
        <v>51</v>
      </c>
      <c r="Z18" s="316">
        <v>71</v>
      </c>
      <c r="AA18" s="316">
        <v>91</v>
      </c>
      <c r="AB18" s="317">
        <v>111</v>
      </c>
    </row>
    <row r="19" spans="2:28" x14ac:dyDescent="0.3">
      <c r="B19" s="434">
        <v>0.65</v>
      </c>
      <c r="C19" s="365">
        <f t="shared" si="0"/>
        <v>1148.55</v>
      </c>
      <c r="D19" s="365">
        <f t="shared" si="1"/>
        <v>1230.45</v>
      </c>
      <c r="E19" s="365">
        <f t="shared" si="1"/>
        <v>1476.8</v>
      </c>
      <c r="F19" s="365">
        <f t="shared" si="1"/>
        <v>1706.9</v>
      </c>
      <c r="G19" s="368">
        <f t="shared" si="2"/>
        <v>1904.5</v>
      </c>
      <c r="I19" s="15" t="s">
        <v>96</v>
      </c>
      <c r="J19" s="16"/>
      <c r="K19" s="352" t="str">
        <f>IF(Overview!$D$15="High-rise, Low-rise",'Unit Summary - Rent Roll'!$Z14,"N")</f>
        <v>N</v>
      </c>
      <c r="L19" s="316">
        <v>25</v>
      </c>
      <c r="M19" s="316">
        <v>28</v>
      </c>
      <c r="N19" s="316">
        <v>47</v>
      </c>
      <c r="O19" s="316">
        <v>75</v>
      </c>
      <c r="P19" s="550">
        <v>104</v>
      </c>
      <c r="Q19" s="553" t="str">
        <f>IF(Overview!$D$15="Townhouse, Duplex, Triplex, Fourplex",'Unit Summary - Rent Roll'!$Z14,"N")</f>
        <v>N</v>
      </c>
      <c r="R19" s="552">
        <v>25</v>
      </c>
      <c r="S19" s="316">
        <v>28</v>
      </c>
      <c r="T19" s="316">
        <v>47</v>
      </c>
      <c r="U19" s="316">
        <v>75</v>
      </c>
      <c r="V19" s="550">
        <v>104</v>
      </c>
      <c r="W19" s="553" t="str">
        <f>IF(Overview!$D$15="Single Family Detached, Manufactured Home",'Unit Summary - Rent Roll'!$Z14,"N")</f>
        <v>N</v>
      </c>
      <c r="X19" s="552">
        <v>25</v>
      </c>
      <c r="Y19" s="316">
        <v>28</v>
      </c>
      <c r="Z19" s="316">
        <v>47</v>
      </c>
      <c r="AA19" s="316">
        <v>75</v>
      </c>
      <c r="AB19" s="317">
        <v>104</v>
      </c>
    </row>
    <row r="20" spans="2:28" x14ac:dyDescent="0.3">
      <c r="B20" s="434">
        <v>0.7</v>
      </c>
      <c r="C20" s="365">
        <f t="shared" si="0"/>
        <v>1236.8999999999999</v>
      </c>
      <c r="D20" s="365">
        <f t="shared" si="1"/>
        <v>1325.1</v>
      </c>
      <c r="E20" s="365">
        <f t="shared" si="1"/>
        <v>1590.3999999999999</v>
      </c>
      <c r="F20" s="365">
        <f t="shared" si="1"/>
        <v>1838.1999999999998</v>
      </c>
      <c r="G20" s="368">
        <f t="shared" si="2"/>
        <v>2051</v>
      </c>
      <c r="I20" s="15" t="s">
        <v>97</v>
      </c>
      <c r="J20" s="16"/>
      <c r="K20" s="352" t="str">
        <f>IF(Overview!$D$15="High-rise, Low-rise",'Unit Summary - Rent Roll'!$Z15,"N")</f>
        <v>N</v>
      </c>
      <c r="L20" s="316">
        <v>41</v>
      </c>
      <c r="M20" s="316">
        <v>45</v>
      </c>
      <c r="N20" s="316">
        <v>75</v>
      </c>
      <c r="O20" s="316">
        <v>121</v>
      </c>
      <c r="P20" s="550">
        <v>166</v>
      </c>
      <c r="Q20" s="553" t="str">
        <f>IF(Overview!$D$15="Townhouse, Duplex, Triplex, Fourplex",'Unit Summary - Rent Roll'!$Z15,"N")</f>
        <v>N</v>
      </c>
      <c r="R20" s="552">
        <v>41</v>
      </c>
      <c r="S20" s="316">
        <v>45</v>
      </c>
      <c r="T20" s="316">
        <v>75</v>
      </c>
      <c r="U20" s="316">
        <v>121</v>
      </c>
      <c r="V20" s="550">
        <v>166</v>
      </c>
      <c r="W20" s="553" t="str">
        <f>IF(Overview!$D$15="Single Family Detached, Manufactured Home",'Unit Summary - Rent Roll'!$Z15,"N")</f>
        <v>N</v>
      </c>
      <c r="X20" s="552">
        <v>41</v>
      </c>
      <c r="Y20" s="316">
        <v>45</v>
      </c>
      <c r="Z20" s="316">
        <v>75</v>
      </c>
      <c r="AA20" s="316">
        <v>121</v>
      </c>
      <c r="AB20" s="317">
        <v>166</v>
      </c>
    </row>
    <row r="21" spans="2:28" x14ac:dyDescent="0.3">
      <c r="B21" s="434">
        <v>0.75</v>
      </c>
      <c r="C21" s="365">
        <f t="shared" si="0"/>
        <v>1325.25</v>
      </c>
      <c r="D21" s="365">
        <f t="shared" si="1"/>
        <v>1419.75</v>
      </c>
      <c r="E21" s="365">
        <f t="shared" si="1"/>
        <v>1704</v>
      </c>
      <c r="F21" s="365">
        <f t="shared" si="1"/>
        <v>1969.5</v>
      </c>
      <c r="G21" s="368">
        <f t="shared" si="2"/>
        <v>2197.5</v>
      </c>
      <c r="I21" s="15" t="s">
        <v>98</v>
      </c>
      <c r="J21" s="16"/>
      <c r="K21" s="352" t="str">
        <f>IF(Overview!$D$15="High-rise, Low-rise",'Unit Summary - Rent Roll'!$Z16,"N")</f>
        <v>N</v>
      </c>
      <c r="L21" s="316">
        <v>19</v>
      </c>
      <c r="M21" s="316">
        <v>19</v>
      </c>
      <c r="N21" s="316">
        <v>19</v>
      </c>
      <c r="O21" s="316">
        <v>19</v>
      </c>
      <c r="P21" s="550">
        <v>19</v>
      </c>
      <c r="Q21" s="553" t="str">
        <f>IF(Overview!$D$15="Townhouse, Duplex, Triplex, Fourplex",'Unit Summary - Rent Roll'!$Z16,"N")</f>
        <v>N</v>
      </c>
      <c r="R21" s="552">
        <v>19</v>
      </c>
      <c r="S21" s="316">
        <v>19</v>
      </c>
      <c r="T21" s="316">
        <v>19</v>
      </c>
      <c r="U21" s="316">
        <v>19</v>
      </c>
      <c r="V21" s="550">
        <v>19</v>
      </c>
      <c r="W21" s="553" t="str">
        <f>IF(Overview!$D$15="Single Family Detached, Manufactured Home",'Unit Summary - Rent Roll'!$Z16,"N")</f>
        <v>N</v>
      </c>
      <c r="X21" s="552">
        <v>19</v>
      </c>
      <c r="Y21" s="316">
        <v>19</v>
      </c>
      <c r="Z21" s="316">
        <v>19</v>
      </c>
      <c r="AA21" s="316">
        <v>19</v>
      </c>
      <c r="AB21" s="317">
        <v>19</v>
      </c>
    </row>
    <row r="22" spans="2:28" x14ac:dyDescent="0.3">
      <c r="B22" s="434">
        <v>0.8</v>
      </c>
      <c r="C22" s="365">
        <f t="shared" si="0"/>
        <v>1413.6000000000001</v>
      </c>
      <c r="D22" s="365">
        <f t="shared" si="1"/>
        <v>1514.4</v>
      </c>
      <c r="E22" s="365">
        <f t="shared" si="1"/>
        <v>1817.6000000000001</v>
      </c>
      <c r="F22" s="365">
        <f t="shared" si="1"/>
        <v>2100.8000000000002</v>
      </c>
      <c r="G22" s="368">
        <f t="shared" si="2"/>
        <v>2344</v>
      </c>
      <c r="I22" s="15" t="s">
        <v>99</v>
      </c>
      <c r="J22" s="16"/>
      <c r="K22" s="352" t="str">
        <f>IF(Overview!$D$15="High-rise, Low-rise",'Unit Summary - Rent Roll'!$Z17,"N")</f>
        <v>N</v>
      </c>
      <c r="L22" s="316">
        <v>15</v>
      </c>
      <c r="M22" s="316">
        <v>15</v>
      </c>
      <c r="N22" s="316">
        <v>15</v>
      </c>
      <c r="O22" s="316">
        <v>15</v>
      </c>
      <c r="P22" s="550">
        <v>15</v>
      </c>
      <c r="Q22" s="553" t="str">
        <f>IF(Overview!$D$15="Townhouse, Duplex, Triplex, Fourplex",'Unit Summary - Rent Roll'!$Z17,"N")</f>
        <v>N</v>
      </c>
      <c r="R22" s="552">
        <v>15</v>
      </c>
      <c r="S22" s="316">
        <v>15</v>
      </c>
      <c r="T22" s="316">
        <v>15</v>
      </c>
      <c r="U22" s="316">
        <v>15</v>
      </c>
      <c r="V22" s="550">
        <v>15</v>
      </c>
      <c r="W22" s="553" t="str">
        <f>IF(Overview!$D$15="Single Family Detached, Manufactured Home",'Unit Summary - Rent Roll'!$Z17,"N")</f>
        <v>N</v>
      </c>
      <c r="X22" s="552">
        <v>15</v>
      </c>
      <c r="Y22" s="316">
        <v>15</v>
      </c>
      <c r="Z22" s="316">
        <v>15</v>
      </c>
      <c r="AA22" s="316">
        <v>15</v>
      </c>
      <c r="AB22" s="317">
        <v>15</v>
      </c>
    </row>
    <row r="23" spans="2:28" x14ac:dyDescent="0.3">
      <c r="B23" s="370">
        <v>0.85</v>
      </c>
      <c r="C23" s="366">
        <f t="shared" si="0"/>
        <v>1501.95</v>
      </c>
      <c r="D23" s="366">
        <f t="shared" si="1"/>
        <v>1609.05</v>
      </c>
      <c r="E23" s="366">
        <f t="shared" si="1"/>
        <v>1931.2</v>
      </c>
      <c r="F23" s="366">
        <f t="shared" si="1"/>
        <v>2232.1</v>
      </c>
      <c r="G23" s="369">
        <f t="shared" si="2"/>
        <v>2490.5</v>
      </c>
      <c r="I23" s="15" t="s">
        <v>101</v>
      </c>
      <c r="J23" s="16"/>
      <c r="K23" s="352" t="str">
        <f>IF(Overview!$D$15="High-rise, Low-rise",'Unit Summary - Rent Roll'!$Z18,"N")</f>
        <v>N</v>
      </c>
      <c r="L23" s="316">
        <v>11</v>
      </c>
      <c r="M23" s="316">
        <v>11</v>
      </c>
      <c r="N23" s="316">
        <v>11</v>
      </c>
      <c r="O23" s="316">
        <v>11</v>
      </c>
      <c r="P23" s="550">
        <v>11</v>
      </c>
      <c r="Q23" s="553" t="str">
        <f>IF(Overview!$D$15="Townhouse, Duplex, Triplex, Fourplex",'Unit Summary - Rent Roll'!$Z18,"N")</f>
        <v>N</v>
      </c>
      <c r="R23" s="552">
        <v>11</v>
      </c>
      <c r="S23" s="316">
        <v>11</v>
      </c>
      <c r="T23" s="316">
        <v>11</v>
      </c>
      <c r="U23" s="316">
        <v>11</v>
      </c>
      <c r="V23" s="550">
        <v>11</v>
      </c>
      <c r="W23" s="553" t="str">
        <f>IF(Overview!$D$15="Single Family Detached, Manufactured Home",'Unit Summary - Rent Roll'!$Z18,"N")</f>
        <v>N</v>
      </c>
      <c r="X23" s="552">
        <v>11</v>
      </c>
      <c r="Y23" s="316">
        <v>11</v>
      </c>
      <c r="Z23" s="316">
        <v>11</v>
      </c>
      <c r="AA23" s="316">
        <v>11</v>
      </c>
      <c r="AB23" s="317">
        <v>11</v>
      </c>
    </row>
    <row r="24" spans="2:28" x14ac:dyDescent="0.3">
      <c r="B24" s="370">
        <v>0.9</v>
      </c>
      <c r="C24" s="366">
        <f t="shared" si="0"/>
        <v>1590.3</v>
      </c>
      <c r="D24" s="366">
        <f t="shared" si="1"/>
        <v>1703.7</v>
      </c>
      <c r="E24" s="366">
        <f t="shared" si="1"/>
        <v>2044.8</v>
      </c>
      <c r="F24" s="366">
        <f t="shared" si="1"/>
        <v>2363.4</v>
      </c>
      <c r="G24" s="369">
        <f t="shared" si="2"/>
        <v>2637</v>
      </c>
      <c r="I24" s="17"/>
      <c r="J24" s="18"/>
      <c r="K24" s="19"/>
      <c r="L24" s="72"/>
      <c r="M24" s="20"/>
      <c r="N24" s="20"/>
      <c r="O24" s="20"/>
      <c r="P24" s="21"/>
      <c r="Q24" s="19"/>
      <c r="R24" s="72"/>
      <c r="S24" s="20"/>
      <c r="T24" s="20"/>
      <c r="U24" s="20"/>
      <c r="V24" s="21"/>
      <c r="W24" s="19"/>
      <c r="X24" s="72"/>
      <c r="Y24" s="20"/>
      <c r="Z24" s="20"/>
      <c r="AA24" s="20"/>
      <c r="AB24" s="21"/>
    </row>
    <row r="25" spans="2:28" x14ac:dyDescent="0.3">
      <c r="B25" s="370">
        <v>0.95</v>
      </c>
      <c r="C25" s="366">
        <f t="shared" si="0"/>
        <v>1678.6499999999999</v>
      </c>
      <c r="D25" s="366">
        <f t="shared" si="1"/>
        <v>1798.35</v>
      </c>
      <c r="E25" s="366">
        <f t="shared" si="1"/>
        <v>2158.4</v>
      </c>
      <c r="F25" s="366">
        <f t="shared" si="1"/>
        <v>2494.6999999999998</v>
      </c>
      <c r="G25" s="369">
        <f t="shared" si="2"/>
        <v>2783.5</v>
      </c>
    </row>
    <row r="26" spans="2:28" x14ac:dyDescent="0.3">
      <c r="B26" s="370">
        <v>1</v>
      </c>
      <c r="C26" s="438">
        <v>1767</v>
      </c>
      <c r="D26" s="438">
        <v>1893</v>
      </c>
      <c r="E26" s="438">
        <v>2272</v>
      </c>
      <c r="F26" s="438">
        <v>2626</v>
      </c>
      <c r="G26" s="436">
        <v>2930</v>
      </c>
    </row>
    <row r="27" spans="2:28" x14ac:dyDescent="0.3">
      <c r="B27" s="370">
        <v>1.05</v>
      </c>
      <c r="C27" s="366">
        <f t="shared" si="0"/>
        <v>1855.3500000000001</v>
      </c>
      <c r="D27" s="366">
        <f t="shared" si="1"/>
        <v>1987.65</v>
      </c>
      <c r="E27" s="366">
        <f t="shared" si="1"/>
        <v>2385.6</v>
      </c>
      <c r="F27" s="366">
        <f t="shared" si="1"/>
        <v>2757.3</v>
      </c>
      <c r="G27" s="369">
        <f t="shared" si="2"/>
        <v>3076.5</v>
      </c>
    </row>
    <row r="28" spans="2:28" x14ac:dyDescent="0.3">
      <c r="B28" s="370">
        <v>1.1000000000000001</v>
      </c>
      <c r="C28" s="366">
        <f t="shared" si="0"/>
        <v>1943.7</v>
      </c>
      <c r="D28" s="366">
        <f t="shared" si="1"/>
        <v>2082.3000000000002</v>
      </c>
      <c r="E28" s="366">
        <f t="shared" si="1"/>
        <v>2499.2000000000003</v>
      </c>
      <c r="F28" s="366">
        <f t="shared" si="1"/>
        <v>2888.6000000000004</v>
      </c>
      <c r="G28" s="369">
        <f t="shared" si="2"/>
        <v>3223.0000000000005</v>
      </c>
    </row>
    <row r="29" spans="2:28" x14ac:dyDescent="0.3">
      <c r="B29" s="370">
        <v>1.1499999999999999</v>
      </c>
      <c r="C29" s="366">
        <f t="shared" si="0"/>
        <v>2032.05</v>
      </c>
      <c r="D29" s="366">
        <f t="shared" si="1"/>
        <v>2176.9499999999998</v>
      </c>
      <c r="E29" s="366">
        <f t="shared" si="1"/>
        <v>2612.7999999999997</v>
      </c>
      <c r="F29" s="366">
        <f t="shared" si="1"/>
        <v>3019.8999999999996</v>
      </c>
      <c r="G29" s="369">
        <f t="shared" si="2"/>
        <v>3369.4999999999995</v>
      </c>
    </row>
    <row r="30" spans="2:28" x14ac:dyDescent="0.3">
      <c r="B30" s="370">
        <v>1.2</v>
      </c>
      <c r="C30" s="366">
        <f t="shared" si="0"/>
        <v>2120.4</v>
      </c>
      <c r="D30" s="366">
        <f t="shared" si="1"/>
        <v>2271.6</v>
      </c>
      <c r="E30" s="366">
        <f t="shared" si="1"/>
        <v>2726.4</v>
      </c>
      <c r="F30" s="366">
        <f t="shared" si="1"/>
        <v>3151.2</v>
      </c>
      <c r="G30" s="369">
        <f t="shared" si="2"/>
        <v>3516</v>
      </c>
    </row>
    <row r="31" spans="2:28" x14ac:dyDescent="0.3">
      <c r="B31" s="437" t="s">
        <v>451</v>
      </c>
      <c r="C31" s="438">
        <v>991</v>
      </c>
      <c r="D31" s="438">
        <v>1090</v>
      </c>
      <c r="E31" s="438">
        <v>1378</v>
      </c>
      <c r="F31" s="438">
        <v>1688</v>
      </c>
      <c r="G31" s="439">
        <v>1827</v>
      </c>
    </row>
    <row r="32" spans="2:28" x14ac:dyDescent="0.3">
      <c r="B32" s="370" t="s">
        <v>452</v>
      </c>
      <c r="C32" s="366">
        <f>SUM(SUMIFS(L$10:L$24,$K$10:$K$24,"Y"),SUMIFS(R$10:R$24,$Q$10:$Q$24,"Y"),SUMIFS(X$10:X$24,$W$10:$W$24,"Y"))</f>
        <v>0</v>
      </c>
      <c r="D32" s="366">
        <f>SUM(SUMIFS(M$10:M$24,$K$10:$K$24,"Y"),SUMIFS(S$10:S$24,$Q$10:$Q$24,"Y"),SUMIFS(Y$10:Y$24,$W$10:$W$24,"Y"))</f>
        <v>0</v>
      </c>
      <c r="E32" s="366">
        <f>SUM(SUMIFS(N$10:N$24,$K$10:$K$24,"Y"),SUMIFS(T$10:T$24,$Q$10:$Q$24,"Y"),SUMIFS(Z$10:Z$24,$W$10:$W$24,"Y"))</f>
        <v>0</v>
      </c>
      <c r="F32" s="366">
        <f>SUM(SUMIFS(O$10:O$24,$K$10:$K$24,"Y"),SUMIFS(U$10:U$24,$Q$10:$Q$24,"Y"),SUMIFS(AA$10:AA$24,$W$10:$W$24,"Y"))</f>
        <v>0</v>
      </c>
      <c r="G32" s="369">
        <f>SUM(SUMIFS(P$10:P$24,$K$10:$K$24,"Y"),SUMIFS(V$10:V$24,$Q$10:$Q$24,"Y"),SUMIFS(AB$10:AB$24,$W$10:$W$24,"Y"))</f>
        <v>0</v>
      </c>
    </row>
    <row r="33" spans="2:26" x14ac:dyDescent="0.3">
      <c r="B33" s="17"/>
      <c r="C33" s="20"/>
      <c r="D33" s="20"/>
      <c r="E33" s="20"/>
      <c r="F33" s="20"/>
      <c r="G33" s="18"/>
    </row>
    <row r="36" spans="2:26" x14ac:dyDescent="0.3">
      <c r="B36" s="6" t="s">
        <v>453</v>
      </c>
      <c r="C36" s="7"/>
      <c r="D36" s="7"/>
      <c r="E36" s="7"/>
      <c r="F36" s="7"/>
      <c r="G36" s="7"/>
      <c r="H36" s="7"/>
      <c r="I36" s="7"/>
      <c r="J36" s="8"/>
      <c r="L36" s="6" t="s">
        <v>8</v>
      </c>
      <c r="M36" s="9"/>
      <c r="N36" s="9"/>
      <c r="O36" s="9"/>
      <c r="P36" s="75"/>
      <c r="R36" s="6" t="s">
        <v>454</v>
      </c>
      <c r="S36" s="9"/>
      <c r="T36" s="9"/>
      <c r="U36" s="9"/>
      <c r="V36" s="9"/>
      <c r="W36" s="9"/>
      <c r="X36" s="9"/>
      <c r="Y36" s="9"/>
      <c r="Z36" s="75"/>
    </row>
    <row r="37" spans="2:26" ht="13.95" customHeight="1" x14ac:dyDescent="0.3">
      <c r="B37" s="301" t="s">
        <v>29</v>
      </c>
      <c r="C37" s="10" t="s">
        <v>142</v>
      </c>
      <c r="D37" s="10" t="s">
        <v>377</v>
      </c>
      <c r="E37" s="10" t="s">
        <v>387</v>
      </c>
      <c r="F37" s="10" t="s">
        <v>396</v>
      </c>
      <c r="G37" s="10" t="s">
        <v>400</v>
      </c>
      <c r="H37" s="10" t="s">
        <v>401</v>
      </c>
      <c r="I37" s="10" t="s">
        <v>402</v>
      </c>
      <c r="J37" s="10" t="s">
        <v>403</v>
      </c>
      <c r="L37" s="556" t="s">
        <v>10</v>
      </c>
      <c r="M37" s="556" t="s">
        <v>455</v>
      </c>
      <c r="N37" s="556" t="s">
        <v>456</v>
      </c>
      <c r="O37" s="556" t="s">
        <v>457</v>
      </c>
      <c r="P37" s="556" t="s">
        <v>458</v>
      </c>
      <c r="R37" s="662" t="s">
        <v>459</v>
      </c>
      <c r="S37" s="663"/>
      <c r="T37" s="664"/>
      <c r="U37" s="671" t="s">
        <v>460</v>
      </c>
      <c r="V37" s="662" t="s">
        <v>461</v>
      </c>
      <c r="W37" s="663"/>
      <c r="X37" s="663"/>
      <c r="Y37" s="663"/>
      <c r="Z37" s="664"/>
    </row>
    <row r="38" spans="2:26" x14ac:dyDescent="0.3">
      <c r="B38" s="433">
        <v>1.5</v>
      </c>
      <c r="C38" s="281">
        <f t="shared" ref="C38:J38" si="3">ROUND(C$43*$B38,0)</f>
        <v>106050</v>
      </c>
      <c r="D38" s="281">
        <f t="shared" si="3"/>
        <v>121200</v>
      </c>
      <c r="E38" s="281">
        <f t="shared" si="3"/>
        <v>136350</v>
      </c>
      <c r="F38" s="281">
        <f t="shared" si="3"/>
        <v>151500</v>
      </c>
      <c r="G38" s="281">
        <f t="shared" si="3"/>
        <v>163650</v>
      </c>
      <c r="H38" s="281">
        <f t="shared" si="3"/>
        <v>175800</v>
      </c>
      <c r="I38" s="281">
        <f t="shared" si="3"/>
        <v>187950</v>
      </c>
      <c r="J38" s="367">
        <f t="shared" si="3"/>
        <v>200100</v>
      </c>
      <c r="L38" s="557"/>
      <c r="M38" s="557"/>
      <c r="N38" s="557"/>
      <c r="O38" s="557"/>
      <c r="P38" s="557"/>
      <c r="R38" s="665"/>
      <c r="S38" s="666"/>
      <c r="T38" s="667"/>
      <c r="U38" s="672"/>
      <c r="V38" s="665"/>
      <c r="W38" s="666"/>
      <c r="X38" s="666"/>
      <c r="Y38" s="666"/>
      <c r="Z38" s="667"/>
    </row>
    <row r="39" spans="2:26" x14ac:dyDescent="0.3">
      <c r="B39" s="434">
        <v>1.4</v>
      </c>
      <c r="C39" s="365">
        <f t="shared" ref="C39:J54" si="4">ROUND(C$43*$B39,0)</f>
        <v>98980</v>
      </c>
      <c r="D39" s="365">
        <f t="shared" si="4"/>
        <v>113120</v>
      </c>
      <c r="E39" s="365">
        <f t="shared" si="4"/>
        <v>127260</v>
      </c>
      <c r="F39" s="365">
        <f t="shared" si="4"/>
        <v>141400</v>
      </c>
      <c r="G39" s="365">
        <f t="shared" si="4"/>
        <v>152740</v>
      </c>
      <c r="H39" s="365">
        <f t="shared" si="4"/>
        <v>164080</v>
      </c>
      <c r="I39" s="365">
        <f t="shared" si="4"/>
        <v>175420</v>
      </c>
      <c r="J39" s="368">
        <f t="shared" si="4"/>
        <v>186760</v>
      </c>
      <c r="L39" s="557"/>
      <c r="M39" s="558"/>
      <c r="N39" s="558"/>
      <c r="O39" s="558"/>
      <c r="P39" s="558"/>
      <c r="R39" s="665"/>
      <c r="S39" s="666"/>
      <c r="T39" s="667"/>
      <c r="U39" s="672"/>
      <c r="V39" s="668"/>
      <c r="W39" s="669"/>
      <c r="X39" s="669"/>
      <c r="Y39" s="669"/>
      <c r="Z39" s="670"/>
    </row>
    <row r="40" spans="2:26" x14ac:dyDescent="0.3">
      <c r="B40" s="434">
        <v>1.25</v>
      </c>
      <c r="C40" s="365">
        <f t="shared" si="4"/>
        <v>88375</v>
      </c>
      <c r="D40" s="365">
        <f t="shared" si="4"/>
        <v>101000</v>
      </c>
      <c r="E40" s="365">
        <f t="shared" si="4"/>
        <v>113625</v>
      </c>
      <c r="F40" s="365">
        <f t="shared" si="4"/>
        <v>126250</v>
      </c>
      <c r="G40" s="365">
        <f t="shared" si="4"/>
        <v>136375</v>
      </c>
      <c r="H40" s="365">
        <f t="shared" si="4"/>
        <v>146500</v>
      </c>
      <c r="I40" s="365">
        <f t="shared" si="4"/>
        <v>156625</v>
      </c>
      <c r="J40" s="368">
        <f t="shared" si="4"/>
        <v>166750</v>
      </c>
      <c r="L40" s="558"/>
      <c r="M40" s="539" t="s">
        <v>398</v>
      </c>
      <c r="N40" s="539" t="s">
        <v>369</v>
      </c>
      <c r="O40" s="539" t="s">
        <v>381</v>
      </c>
      <c r="P40" s="539" t="s">
        <v>393</v>
      </c>
      <c r="R40" s="668"/>
      <c r="S40" s="669"/>
      <c r="T40" s="670"/>
      <c r="U40" s="673"/>
      <c r="V40" s="301" t="s">
        <v>362</v>
      </c>
      <c r="W40" s="301" t="s">
        <v>371</v>
      </c>
      <c r="X40" s="301" t="s">
        <v>382</v>
      </c>
      <c r="Y40" s="301" t="s">
        <v>394</v>
      </c>
      <c r="Z40" s="301" t="s">
        <v>399</v>
      </c>
    </row>
    <row r="41" spans="2:26" x14ac:dyDescent="0.3">
      <c r="B41" s="434">
        <v>1.2</v>
      </c>
      <c r="C41" s="365">
        <f t="shared" si="4"/>
        <v>84840</v>
      </c>
      <c r="D41" s="365">
        <f t="shared" si="4"/>
        <v>96960</v>
      </c>
      <c r="E41" s="365">
        <f t="shared" si="4"/>
        <v>109080</v>
      </c>
      <c r="F41" s="365">
        <f t="shared" si="4"/>
        <v>121200</v>
      </c>
      <c r="G41" s="365">
        <f t="shared" si="4"/>
        <v>130920</v>
      </c>
      <c r="H41" s="365">
        <f t="shared" si="4"/>
        <v>140640</v>
      </c>
      <c r="I41" s="365">
        <f t="shared" si="4"/>
        <v>150360</v>
      </c>
      <c r="J41" s="368">
        <f t="shared" si="4"/>
        <v>160080</v>
      </c>
      <c r="L41" s="433">
        <v>0.2</v>
      </c>
      <c r="M41" s="318">
        <v>5.0000000000000001E-3</v>
      </c>
      <c r="N41" s="318">
        <v>0.01</v>
      </c>
      <c r="O41" s="318">
        <v>0.01</v>
      </c>
      <c r="P41" s="285">
        <f>'Financials- SWHP'!$X$71</f>
        <v>0.08</v>
      </c>
      <c r="R41" s="166" t="s">
        <v>462</v>
      </c>
      <c r="S41" s="167"/>
      <c r="T41" s="164"/>
      <c r="U41" s="321">
        <v>17.042999999999999</v>
      </c>
      <c r="V41" s="322">
        <v>1</v>
      </c>
      <c r="W41" s="322">
        <v>0.5</v>
      </c>
      <c r="X41" s="322">
        <v>1</v>
      </c>
      <c r="Y41" s="322">
        <v>0</v>
      </c>
      <c r="Z41" s="168">
        <f t="shared" ref="Z41:Z57" ca="1" si="5">$Z$58/$U$58</f>
        <v>0.30946452992951573</v>
      </c>
    </row>
    <row r="42" spans="2:26" x14ac:dyDescent="0.3">
      <c r="B42" s="434">
        <v>1.1000000000000001</v>
      </c>
      <c r="C42" s="365">
        <f t="shared" si="4"/>
        <v>77770</v>
      </c>
      <c r="D42" s="365">
        <f t="shared" si="4"/>
        <v>88880</v>
      </c>
      <c r="E42" s="365">
        <f t="shared" si="4"/>
        <v>99990</v>
      </c>
      <c r="F42" s="365">
        <f t="shared" si="4"/>
        <v>111100</v>
      </c>
      <c r="G42" s="365">
        <f t="shared" si="4"/>
        <v>120010</v>
      </c>
      <c r="H42" s="365">
        <f t="shared" si="4"/>
        <v>128920</v>
      </c>
      <c r="I42" s="365">
        <f t="shared" si="4"/>
        <v>137830</v>
      </c>
      <c r="J42" s="368">
        <f t="shared" si="4"/>
        <v>146740</v>
      </c>
      <c r="L42" s="434">
        <v>0.3</v>
      </c>
      <c r="M42" s="319">
        <v>5.0000000000000001E-3</v>
      </c>
      <c r="N42" s="319">
        <v>0.01</v>
      </c>
      <c r="O42" s="319">
        <v>0.01</v>
      </c>
      <c r="P42" s="175">
        <f>'Financials- SWHP'!$X$71</f>
        <v>0.08</v>
      </c>
      <c r="R42" s="15" t="s">
        <v>463</v>
      </c>
      <c r="T42" s="165"/>
      <c r="U42" s="323">
        <v>6</v>
      </c>
      <c r="V42" s="324">
        <v>1</v>
      </c>
      <c r="W42" s="324">
        <v>0.5</v>
      </c>
      <c r="X42" s="324">
        <v>1</v>
      </c>
      <c r="Y42" s="324">
        <v>0</v>
      </c>
      <c r="Z42" s="169">
        <f t="shared" ca="1" si="5"/>
        <v>0.30946452992951573</v>
      </c>
    </row>
    <row r="43" spans="2:26" x14ac:dyDescent="0.3">
      <c r="B43" s="434">
        <v>1</v>
      </c>
      <c r="C43" s="441">
        <v>70700</v>
      </c>
      <c r="D43" s="441">
        <v>80800</v>
      </c>
      <c r="E43" s="441">
        <v>90900</v>
      </c>
      <c r="F43" s="441">
        <v>101000</v>
      </c>
      <c r="G43" s="441">
        <v>109100</v>
      </c>
      <c r="H43" s="441">
        <v>117200</v>
      </c>
      <c r="I43" s="441">
        <v>125300</v>
      </c>
      <c r="J43" s="442">
        <v>133400</v>
      </c>
      <c r="L43" s="434">
        <v>0.4</v>
      </c>
      <c r="M43" s="319">
        <v>5.0000000000000001E-3</v>
      </c>
      <c r="N43" s="319">
        <v>0.01</v>
      </c>
      <c r="O43" s="319">
        <v>0.01</v>
      </c>
      <c r="P43" s="175">
        <f>'Financials- SWHP'!$X$71</f>
        <v>0.08</v>
      </c>
      <c r="R43" s="15" t="s">
        <v>464</v>
      </c>
      <c r="T43" s="165"/>
      <c r="U43" s="323">
        <v>0.9829</v>
      </c>
      <c r="V43" s="324">
        <v>0</v>
      </c>
      <c r="W43" s="324">
        <v>0</v>
      </c>
      <c r="X43" s="324">
        <v>0</v>
      </c>
      <c r="Y43" s="324">
        <v>0</v>
      </c>
      <c r="Z43" s="169">
        <f t="shared" ca="1" si="5"/>
        <v>0.30946452992951573</v>
      </c>
    </row>
    <row r="44" spans="2:26" x14ac:dyDescent="0.3">
      <c r="B44" s="434">
        <v>0.9</v>
      </c>
      <c r="C44" s="365">
        <f t="shared" si="4"/>
        <v>63630</v>
      </c>
      <c r="D44" s="365">
        <f t="shared" si="4"/>
        <v>72720</v>
      </c>
      <c r="E44" s="365">
        <f t="shared" si="4"/>
        <v>81810</v>
      </c>
      <c r="F44" s="365">
        <f t="shared" si="4"/>
        <v>90900</v>
      </c>
      <c r="G44" s="365">
        <f t="shared" si="4"/>
        <v>98190</v>
      </c>
      <c r="H44" s="365">
        <f t="shared" si="4"/>
        <v>105480</v>
      </c>
      <c r="I44" s="365">
        <f t="shared" si="4"/>
        <v>112770</v>
      </c>
      <c r="J44" s="368">
        <f t="shared" si="4"/>
        <v>120060</v>
      </c>
      <c r="L44" s="434">
        <v>0.5</v>
      </c>
      <c r="M44" s="319">
        <v>5.0000000000000001E-3</v>
      </c>
      <c r="N44" s="319">
        <v>0.01</v>
      </c>
      <c r="O44" s="319">
        <v>0.01</v>
      </c>
      <c r="P44" s="175">
        <f>'Financials- SWHP'!$X$71</f>
        <v>0.08</v>
      </c>
      <c r="R44" s="15" t="s">
        <v>465</v>
      </c>
      <c r="T44" s="165"/>
      <c r="U44" s="323">
        <v>0.2442</v>
      </c>
      <c r="V44" s="324">
        <v>0</v>
      </c>
      <c r="W44" s="324">
        <v>0</v>
      </c>
      <c r="X44" s="324">
        <v>0</v>
      </c>
      <c r="Y44" s="324">
        <v>0</v>
      </c>
      <c r="Z44" s="169">
        <f t="shared" ca="1" si="5"/>
        <v>0.30946452992951573</v>
      </c>
    </row>
    <row r="45" spans="2:26" x14ac:dyDescent="0.3">
      <c r="B45" s="434">
        <v>0.8</v>
      </c>
      <c r="C45" s="365">
        <f t="shared" si="4"/>
        <v>56560</v>
      </c>
      <c r="D45" s="365">
        <f t="shared" si="4"/>
        <v>64640</v>
      </c>
      <c r="E45" s="365">
        <f t="shared" si="4"/>
        <v>72720</v>
      </c>
      <c r="F45" s="365">
        <f t="shared" si="4"/>
        <v>80800</v>
      </c>
      <c r="G45" s="365">
        <f t="shared" si="4"/>
        <v>87280</v>
      </c>
      <c r="H45" s="365">
        <f t="shared" si="4"/>
        <v>93760</v>
      </c>
      <c r="I45" s="365">
        <f t="shared" si="4"/>
        <v>100240</v>
      </c>
      <c r="J45" s="368">
        <f t="shared" si="4"/>
        <v>106720</v>
      </c>
      <c r="L45" s="434">
        <v>0.6</v>
      </c>
      <c r="M45" s="319">
        <v>5.0000000000000001E-3</v>
      </c>
      <c r="N45" s="319">
        <v>0.01</v>
      </c>
      <c r="O45" s="319">
        <v>0.01</v>
      </c>
      <c r="P45" s="175">
        <f>'Financials- SWHP'!$X$71</f>
        <v>0.08</v>
      </c>
      <c r="R45" s="15" t="s">
        <v>466</v>
      </c>
      <c r="T45" s="165"/>
      <c r="U45" s="323">
        <v>0.93579999999999997</v>
      </c>
      <c r="V45" s="324">
        <v>0</v>
      </c>
      <c r="W45" s="324">
        <v>0</v>
      </c>
      <c r="X45" s="324">
        <v>0</v>
      </c>
      <c r="Y45" s="324">
        <v>0</v>
      </c>
      <c r="Z45" s="169">
        <f t="shared" ca="1" si="5"/>
        <v>0.30946452992951573</v>
      </c>
    </row>
    <row r="46" spans="2:26" x14ac:dyDescent="0.3">
      <c r="B46" s="434">
        <v>0.7</v>
      </c>
      <c r="C46" s="365">
        <f t="shared" si="4"/>
        <v>49490</v>
      </c>
      <c r="D46" s="365">
        <f t="shared" si="4"/>
        <v>56560</v>
      </c>
      <c r="E46" s="365">
        <f t="shared" si="4"/>
        <v>63630</v>
      </c>
      <c r="F46" s="365">
        <f t="shared" si="4"/>
        <v>70700</v>
      </c>
      <c r="G46" s="365">
        <f t="shared" si="4"/>
        <v>76370</v>
      </c>
      <c r="H46" s="365">
        <f t="shared" si="4"/>
        <v>82040</v>
      </c>
      <c r="I46" s="365">
        <f t="shared" si="4"/>
        <v>87710</v>
      </c>
      <c r="J46" s="368">
        <f t="shared" si="4"/>
        <v>93380</v>
      </c>
      <c r="L46" s="434">
        <v>0.7</v>
      </c>
      <c r="M46" s="319">
        <v>0.02</v>
      </c>
      <c r="N46" s="319">
        <v>0.04</v>
      </c>
      <c r="O46" s="319">
        <v>0.04</v>
      </c>
      <c r="P46" s="175">
        <f>'Financials- SWHP'!$X$71</f>
        <v>0.08</v>
      </c>
      <c r="R46" s="15" t="s">
        <v>467</v>
      </c>
      <c r="T46" s="165"/>
      <c r="U46" s="323">
        <v>9.5600000000000004E-2</v>
      </c>
      <c r="V46" s="324">
        <v>0</v>
      </c>
      <c r="W46" s="324">
        <v>0</v>
      </c>
      <c r="X46" s="324">
        <v>0</v>
      </c>
      <c r="Y46" s="324">
        <v>0</v>
      </c>
      <c r="Z46" s="169">
        <f t="shared" ca="1" si="5"/>
        <v>0.30946452992951573</v>
      </c>
    </row>
    <row r="47" spans="2:26" x14ac:dyDescent="0.3">
      <c r="B47" s="434">
        <v>0.6</v>
      </c>
      <c r="C47" s="365">
        <f t="shared" si="4"/>
        <v>42420</v>
      </c>
      <c r="D47" s="365">
        <f t="shared" si="4"/>
        <v>48480</v>
      </c>
      <c r="E47" s="365">
        <f t="shared" si="4"/>
        <v>54540</v>
      </c>
      <c r="F47" s="365">
        <f t="shared" si="4"/>
        <v>60600</v>
      </c>
      <c r="G47" s="365">
        <f t="shared" si="4"/>
        <v>65460</v>
      </c>
      <c r="H47" s="365">
        <f t="shared" si="4"/>
        <v>70320</v>
      </c>
      <c r="I47" s="365">
        <f t="shared" si="4"/>
        <v>75180</v>
      </c>
      <c r="J47" s="368">
        <f t="shared" si="4"/>
        <v>80040</v>
      </c>
      <c r="L47" s="434">
        <v>0.8</v>
      </c>
      <c r="M47" s="319">
        <v>0.02</v>
      </c>
      <c r="N47" s="319">
        <v>0.04</v>
      </c>
      <c r="O47" s="319">
        <v>0.04</v>
      </c>
      <c r="P47" s="175">
        <f>'Financials- SWHP'!$X$71</f>
        <v>0.08</v>
      </c>
      <c r="R47" s="15" t="s">
        <v>468</v>
      </c>
      <c r="T47" s="165"/>
      <c r="U47" s="323">
        <v>3.3443000000000001</v>
      </c>
      <c r="V47" s="324">
        <v>0</v>
      </c>
      <c r="W47" s="324">
        <v>0</v>
      </c>
      <c r="X47" s="324">
        <v>0</v>
      </c>
      <c r="Y47" s="324">
        <v>0</v>
      </c>
      <c r="Z47" s="169">
        <f t="shared" ca="1" si="5"/>
        <v>0.30946452992951573</v>
      </c>
    </row>
    <row r="48" spans="2:26" x14ac:dyDescent="0.3">
      <c r="B48" s="434">
        <v>0.55000000000000004</v>
      </c>
      <c r="C48" s="365">
        <f t="shared" si="4"/>
        <v>38885</v>
      </c>
      <c r="D48" s="365">
        <f t="shared" si="4"/>
        <v>44440</v>
      </c>
      <c r="E48" s="365">
        <f t="shared" si="4"/>
        <v>49995</v>
      </c>
      <c r="F48" s="365">
        <f t="shared" si="4"/>
        <v>55550</v>
      </c>
      <c r="G48" s="365">
        <f t="shared" si="4"/>
        <v>60005</v>
      </c>
      <c r="H48" s="365">
        <f t="shared" si="4"/>
        <v>64460</v>
      </c>
      <c r="I48" s="365">
        <f t="shared" si="4"/>
        <v>68915</v>
      </c>
      <c r="J48" s="368">
        <f t="shared" si="4"/>
        <v>73370</v>
      </c>
      <c r="L48" s="434">
        <v>0.9</v>
      </c>
      <c r="M48" s="319">
        <v>3.5000000000000003E-2</v>
      </c>
      <c r="N48" s="320" t="s">
        <v>139</v>
      </c>
      <c r="O48" s="320" t="s">
        <v>139</v>
      </c>
      <c r="P48" s="175">
        <f>'Financials- SWHP'!$X$71</f>
        <v>0.08</v>
      </c>
      <c r="R48" s="15" t="s">
        <v>469</v>
      </c>
      <c r="T48" s="165"/>
      <c r="U48" s="323">
        <v>1.9876</v>
      </c>
      <c r="V48" s="324">
        <v>0</v>
      </c>
      <c r="W48" s="324">
        <v>0</v>
      </c>
      <c r="X48" s="324">
        <v>0</v>
      </c>
      <c r="Y48" s="324">
        <v>0</v>
      </c>
      <c r="Z48" s="169">
        <f t="shared" ca="1" si="5"/>
        <v>0.30946452992951573</v>
      </c>
    </row>
    <row r="49" spans="2:26" x14ac:dyDescent="0.3">
      <c r="B49" s="434">
        <v>0.5</v>
      </c>
      <c r="C49" s="365">
        <f t="shared" si="4"/>
        <v>35350</v>
      </c>
      <c r="D49" s="365">
        <f t="shared" si="4"/>
        <v>40400</v>
      </c>
      <c r="E49" s="365">
        <f t="shared" si="4"/>
        <v>45450</v>
      </c>
      <c r="F49" s="365">
        <f t="shared" si="4"/>
        <v>50500</v>
      </c>
      <c r="G49" s="365">
        <f t="shared" si="4"/>
        <v>54550</v>
      </c>
      <c r="H49" s="365">
        <f t="shared" si="4"/>
        <v>58600</v>
      </c>
      <c r="I49" s="365">
        <f t="shared" si="4"/>
        <v>62650</v>
      </c>
      <c r="J49" s="368">
        <f t="shared" si="4"/>
        <v>66700</v>
      </c>
      <c r="L49" s="434">
        <v>1</v>
      </c>
      <c r="M49" s="319">
        <v>3.5000000000000003E-2</v>
      </c>
      <c r="N49" s="320" t="s">
        <v>139</v>
      </c>
      <c r="O49" s="320" t="s">
        <v>139</v>
      </c>
      <c r="P49" s="175">
        <f>'Financials- SWHP'!$X$71</f>
        <v>0.08</v>
      </c>
      <c r="R49" s="15" t="s">
        <v>470</v>
      </c>
      <c r="T49" s="165"/>
      <c r="U49" s="323">
        <v>19.952000000000002</v>
      </c>
      <c r="V49" s="324">
        <v>0</v>
      </c>
      <c r="W49" s="324">
        <v>0</v>
      </c>
      <c r="X49" s="324">
        <v>0</v>
      </c>
      <c r="Y49" s="324">
        <v>0</v>
      </c>
      <c r="Z49" s="169">
        <f t="shared" ca="1" si="5"/>
        <v>0.30946452992951573</v>
      </c>
    </row>
    <row r="50" spans="2:26" x14ac:dyDescent="0.3">
      <c r="B50" s="434">
        <v>0.45</v>
      </c>
      <c r="C50" s="365">
        <f t="shared" si="4"/>
        <v>31815</v>
      </c>
      <c r="D50" s="365">
        <f t="shared" si="4"/>
        <v>36360</v>
      </c>
      <c r="E50" s="365">
        <f t="shared" si="4"/>
        <v>40905</v>
      </c>
      <c r="F50" s="365">
        <f t="shared" si="4"/>
        <v>45450</v>
      </c>
      <c r="G50" s="365">
        <f t="shared" si="4"/>
        <v>49095</v>
      </c>
      <c r="H50" s="365">
        <f t="shared" si="4"/>
        <v>52740</v>
      </c>
      <c r="I50" s="365">
        <f t="shared" si="4"/>
        <v>56385</v>
      </c>
      <c r="J50" s="368">
        <f t="shared" si="4"/>
        <v>60030</v>
      </c>
      <c r="L50" s="434">
        <v>1.1000000000000001</v>
      </c>
      <c r="M50" s="319">
        <v>3.5000000000000003E-2</v>
      </c>
      <c r="N50" s="320" t="s">
        <v>139</v>
      </c>
      <c r="O50" s="320" t="s">
        <v>139</v>
      </c>
      <c r="P50" s="175">
        <f>'Financials- SWHP'!$X$71</f>
        <v>0.08</v>
      </c>
      <c r="R50" s="15" t="s">
        <v>471</v>
      </c>
      <c r="T50" s="165"/>
      <c r="U50" s="323">
        <v>4.6307</v>
      </c>
      <c r="V50" s="324">
        <v>0</v>
      </c>
      <c r="W50" s="324">
        <v>0</v>
      </c>
      <c r="X50" s="324">
        <v>0</v>
      </c>
      <c r="Y50" s="324">
        <v>0</v>
      </c>
      <c r="Z50" s="169">
        <f t="shared" ca="1" si="5"/>
        <v>0.30946452992951573</v>
      </c>
    </row>
    <row r="51" spans="2:26" x14ac:dyDescent="0.3">
      <c r="B51" s="434">
        <v>0.4</v>
      </c>
      <c r="C51" s="365">
        <f t="shared" si="4"/>
        <v>28280</v>
      </c>
      <c r="D51" s="365">
        <f t="shared" si="4"/>
        <v>32320</v>
      </c>
      <c r="E51" s="365">
        <f t="shared" si="4"/>
        <v>36360</v>
      </c>
      <c r="F51" s="365">
        <f t="shared" si="4"/>
        <v>40400</v>
      </c>
      <c r="G51" s="365">
        <f t="shared" si="4"/>
        <v>43640</v>
      </c>
      <c r="H51" s="365">
        <f t="shared" si="4"/>
        <v>46880</v>
      </c>
      <c r="I51" s="365">
        <f t="shared" si="4"/>
        <v>50120</v>
      </c>
      <c r="J51" s="368">
        <f t="shared" si="4"/>
        <v>53360</v>
      </c>
      <c r="L51" s="434">
        <v>1.2</v>
      </c>
      <c r="M51" s="319">
        <v>3.5000000000000003E-2</v>
      </c>
      <c r="N51" s="320" t="s">
        <v>139</v>
      </c>
      <c r="O51" s="320" t="s">
        <v>139</v>
      </c>
      <c r="P51" s="175">
        <f>'Financials- SWHP'!$X$71</f>
        <v>0.08</v>
      </c>
      <c r="R51" s="15" t="s">
        <v>472</v>
      </c>
      <c r="T51" s="165"/>
      <c r="U51" s="323">
        <v>5.6098999999999997</v>
      </c>
      <c r="V51" s="324">
        <v>0</v>
      </c>
      <c r="W51" s="324">
        <v>0</v>
      </c>
      <c r="X51" s="324">
        <v>0</v>
      </c>
      <c r="Y51" s="324">
        <v>0</v>
      </c>
      <c r="Z51" s="169">
        <f t="shared" ca="1" si="5"/>
        <v>0.30946452992951573</v>
      </c>
    </row>
    <row r="52" spans="2:26" x14ac:dyDescent="0.3">
      <c r="B52" s="434">
        <v>0.35</v>
      </c>
      <c r="C52" s="365">
        <f t="shared" si="4"/>
        <v>24745</v>
      </c>
      <c r="D52" s="365">
        <f t="shared" si="4"/>
        <v>28280</v>
      </c>
      <c r="E52" s="365">
        <f t="shared" si="4"/>
        <v>31815</v>
      </c>
      <c r="F52" s="365">
        <f t="shared" si="4"/>
        <v>35350</v>
      </c>
      <c r="G52" s="365">
        <f t="shared" si="4"/>
        <v>38185</v>
      </c>
      <c r="H52" s="365">
        <f t="shared" si="4"/>
        <v>41020</v>
      </c>
      <c r="I52" s="365">
        <f t="shared" si="4"/>
        <v>43855</v>
      </c>
      <c r="J52" s="368">
        <f t="shared" si="4"/>
        <v>46690</v>
      </c>
      <c r="L52" s="19"/>
      <c r="M52" s="20"/>
      <c r="N52" s="20"/>
      <c r="O52" s="20"/>
      <c r="P52" s="21"/>
      <c r="R52" s="15" t="s">
        <v>473</v>
      </c>
      <c r="T52" s="165"/>
      <c r="U52" s="323">
        <v>0.20699999999999999</v>
      </c>
      <c r="V52" s="324">
        <v>0</v>
      </c>
      <c r="W52" s="324">
        <v>0</v>
      </c>
      <c r="X52" s="324">
        <v>0</v>
      </c>
      <c r="Y52" s="324">
        <v>0</v>
      </c>
      <c r="Z52" s="169">
        <f t="shared" ca="1" si="5"/>
        <v>0.30946452992951573</v>
      </c>
    </row>
    <row r="53" spans="2:26" x14ac:dyDescent="0.3">
      <c r="B53" s="434">
        <v>0.3</v>
      </c>
      <c r="C53" s="365">
        <f t="shared" si="4"/>
        <v>21210</v>
      </c>
      <c r="D53" s="365">
        <f t="shared" si="4"/>
        <v>24240</v>
      </c>
      <c r="E53" s="365">
        <f t="shared" si="4"/>
        <v>27270</v>
      </c>
      <c r="F53" s="365">
        <f t="shared" si="4"/>
        <v>30300</v>
      </c>
      <c r="G53" s="365">
        <f t="shared" si="4"/>
        <v>32730</v>
      </c>
      <c r="H53" s="365">
        <f t="shared" si="4"/>
        <v>35160</v>
      </c>
      <c r="I53" s="365">
        <f t="shared" si="4"/>
        <v>37590</v>
      </c>
      <c r="J53" s="368">
        <f t="shared" si="4"/>
        <v>40020</v>
      </c>
      <c r="R53" s="15" t="s">
        <v>474</v>
      </c>
      <c r="T53" s="165"/>
      <c r="U53" s="323">
        <v>3.2202000000000002</v>
      </c>
      <c r="V53" s="324">
        <v>0</v>
      </c>
      <c r="W53" s="324">
        <v>0</v>
      </c>
      <c r="X53" s="324">
        <v>0</v>
      </c>
      <c r="Y53" s="324">
        <v>0</v>
      </c>
      <c r="Z53" s="169">
        <f t="shared" ca="1" si="5"/>
        <v>0.30946452992951573</v>
      </c>
    </row>
    <row r="54" spans="2:26" x14ac:dyDescent="0.3">
      <c r="B54" s="434">
        <v>0.25</v>
      </c>
      <c r="C54" s="365">
        <f t="shared" si="4"/>
        <v>17675</v>
      </c>
      <c r="D54" s="365">
        <f t="shared" si="4"/>
        <v>20200</v>
      </c>
      <c r="E54" s="365">
        <f t="shared" si="4"/>
        <v>22725</v>
      </c>
      <c r="F54" s="365">
        <f t="shared" si="4"/>
        <v>25250</v>
      </c>
      <c r="G54" s="365">
        <f t="shared" si="4"/>
        <v>27275</v>
      </c>
      <c r="H54" s="365">
        <f t="shared" si="4"/>
        <v>29300</v>
      </c>
      <c r="I54" s="365">
        <f t="shared" si="4"/>
        <v>31325</v>
      </c>
      <c r="J54" s="368">
        <f t="shared" si="4"/>
        <v>33350</v>
      </c>
      <c r="R54" s="15" t="s">
        <v>475</v>
      </c>
      <c r="T54" s="165"/>
      <c r="U54" s="323">
        <v>13</v>
      </c>
      <c r="V54" s="324">
        <v>0</v>
      </c>
      <c r="W54" s="324">
        <v>0</v>
      </c>
      <c r="X54" s="324">
        <v>0</v>
      </c>
      <c r="Y54" s="324">
        <v>0</v>
      </c>
      <c r="Z54" s="169">
        <f t="shared" ca="1" si="5"/>
        <v>0.30946452992951573</v>
      </c>
    </row>
    <row r="55" spans="2:26" x14ac:dyDescent="0.3">
      <c r="B55" s="434">
        <v>0.2</v>
      </c>
      <c r="C55" s="365">
        <f t="shared" ref="C55:J55" si="6">ROUND(C$43*$B55,0)</f>
        <v>14140</v>
      </c>
      <c r="D55" s="365">
        <f t="shared" si="6"/>
        <v>16160</v>
      </c>
      <c r="E55" s="365">
        <f t="shared" si="6"/>
        <v>18180</v>
      </c>
      <c r="F55" s="365">
        <f t="shared" si="6"/>
        <v>20200</v>
      </c>
      <c r="G55" s="365">
        <f t="shared" si="6"/>
        <v>21820</v>
      </c>
      <c r="H55" s="365">
        <f t="shared" si="6"/>
        <v>23440</v>
      </c>
      <c r="I55" s="365">
        <f t="shared" si="6"/>
        <v>25060</v>
      </c>
      <c r="J55" s="368">
        <f t="shared" si="6"/>
        <v>26680</v>
      </c>
      <c r="R55" s="15" t="s">
        <v>476</v>
      </c>
      <c r="T55" s="165"/>
      <c r="U55" s="323">
        <v>8</v>
      </c>
      <c r="V55" s="324">
        <v>0</v>
      </c>
      <c r="W55" s="324">
        <v>0</v>
      </c>
      <c r="X55" s="324">
        <v>0</v>
      </c>
      <c r="Y55" s="324">
        <v>0</v>
      </c>
      <c r="Z55" s="169">
        <f t="shared" ca="1" si="5"/>
        <v>0.30946452992951573</v>
      </c>
    </row>
    <row r="56" spans="2:26" x14ac:dyDescent="0.3">
      <c r="B56" s="443"/>
      <c r="C56" s="444"/>
      <c r="D56" s="444"/>
      <c r="E56" s="444"/>
      <c r="F56" s="444"/>
      <c r="G56" s="444"/>
      <c r="H56" s="444"/>
      <c r="I56" s="444"/>
      <c r="J56" s="445"/>
      <c r="R56" s="15" t="s">
        <v>477</v>
      </c>
      <c r="T56" s="165"/>
      <c r="U56" s="323">
        <v>0.1986</v>
      </c>
      <c r="V56" s="324">
        <v>0</v>
      </c>
      <c r="W56" s="324">
        <v>0</v>
      </c>
      <c r="X56" s="324">
        <v>0</v>
      </c>
      <c r="Y56" s="324">
        <v>0</v>
      </c>
      <c r="Z56" s="169">
        <f t="shared" ca="1" si="5"/>
        <v>0.30946452992951573</v>
      </c>
    </row>
    <row r="57" spans="2:26" x14ac:dyDescent="0.3">
      <c r="R57" s="15" t="s">
        <v>478</v>
      </c>
      <c r="T57" s="165"/>
      <c r="U57" s="323">
        <v>9.9199999999999997E-2</v>
      </c>
      <c r="V57" s="324">
        <v>0</v>
      </c>
      <c r="W57" s="324">
        <v>0</v>
      </c>
      <c r="X57" s="324">
        <v>0</v>
      </c>
      <c r="Y57" s="324">
        <v>0</v>
      </c>
      <c r="Z57" s="169">
        <f t="shared" ca="1" si="5"/>
        <v>0.30946452992951573</v>
      </c>
    </row>
    <row r="58" spans="2:26" x14ac:dyDescent="0.3">
      <c r="R58" s="446" t="s">
        <v>479</v>
      </c>
      <c r="S58" s="447"/>
      <c r="T58" s="448"/>
      <c r="U58" s="449">
        <f ca="1">SUM(OFFSET(U$40,1,0):OFFSET(U$58,-1,0))</f>
        <v>85.551000000000002</v>
      </c>
      <c r="V58" s="449">
        <f ca="1">SUMPRODUCT(OFFSET($U$40,1,0):OFFSET($U$58,-1,0),OFFSET(V$40,1,0):OFFSET(V$58,-1,0))</f>
        <v>23.042999999999999</v>
      </c>
      <c r="W58" s="449">
        <f ca="1">SUMPRODUCT(OFFSET($U$40,1,0):OFFSET($U$58,-1,0),OFFSET(W$40,1,0):OFFSET(W$58,-1,0))</f>
        <v>11.5215</v>
      </c>
      <c r="X58" s="449">
        <f ca="1">SUMPRODUCT(OFFSET($U$40,1,0):OFFSET($U$58,-1,0),OFFSET(X$40,1,0):OFFSET(X$58,-1,0))</f>
        <v>23.042999999999999</v>
      </c>
      <c r="Y58" s="449">
        <f ca="1">SUMPRODUCT(OFFSET($U$40,1,0):OFFSET($U$58,-1,0),OFFSET(Y$40,1,0):OFFSET(Y$58,-1,0))</f>
        <v>0</v>
      </c>
      <c r="Z58" s="450">
        <v>26.475000000000001</v>
      </c>
    </row>
  </sheetData>
  <sheetProtection sheet="1" objects="1" scenarios="1"/>
  <mergeCells count="15">
    <mergeCell ref="I9:J10"/>
    <mergeCell ref="P37:P39"/>
    <mergeCell ref="R37:T40"/>
    <mergeCell ref="U37:U40"/>
    <mergeCell ref="V37:Z39"/>
    <mergeCell ref="L37:L40"/>
    <mergeCell ref="M37:M39"/>
    <mergeCell ref="N37:N39"/>
    <mergeCell ref="O37:O39"/>
    <mergeCell ref="W8:AB8"/>
    <mergeCell ref="W9:AB9"/>
    <mergeCell ref="Q8:V8"/>
    <mergeCell ref="Q9:V9"/>
    <mergeCell ref="K9:P9"/>
    <mergeCell ref="K8:P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68606127B74A4CAF70515A283242B5" ma:contentTypeVersion="130" ma:contentTypeDescription="Create a new document." ma:contentTypeScope="" ma:versionID="78aa0bf16b6c82fd8f74391283fa9343">
  <xsd:schema xmlns:xsd="http://www.w3.org/2001/XMLSchema" xmlns:xs="http://www.w3.org/2001/XMLSchema" xmlns:p="http://schemas.microsoft.com/office/2006/metadata/properties" xmlns:ns1="http://schemas.microsoft.com/sharepoint/v3" xmlns:ns2="7d167e7b-b703-4d72-a433-43eae6792792" xmlns:ns3="ba46730b-c407-432f-8349-c152ee394015" targetNamespace="http://schemas.microsoft.com/office/2006/metadata/properties" ma:root="true" ma:fieldsID="c5fab0433e512cb7bf202e55d178b8d3" ns1:_="" ns2:_="" ns3:_="">
    <xsd:import namespace="http://schemas.microsoft.com/sharepoint/v3"/>
    <xsd:import namespace="7d167e7b-b703-4d72-a433-43eae6792792"/>
    <xsd:import namespace="ba46730b-c407-432f-8349-c152ee394015"/>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element ref="ns2:DateTime" minOccurs="0"/>
                <xsd:element ref="ns2:Fund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167e7b-b703-4d72-a433-43eae679279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4" nillable="true" ma:displayName="Image Tags_0" ma:hidden="true" ma:internalName="lcf76f155ced4ddcb4097134ff3c332f">
      <xsd:simpleType>
        <xsd:restriction base="dms:Note"/>
      </xsd:simpleType>
    </xsd:element>
    <xsd:element name="MediaServiceLocation" ma:index="16"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element name="DateTime" ma:index="25" nillable="true" ma:displayName="Date &amp; Time" ma:format="DateOnly" ma:internalName="DateTime">
      <xsd:simpleType>
        <xsd:restriction base="dms:DateTime"/>
      </xsd:simpleType>
    </xsd:element>
    <xsd:element name="Funding" ma:index="26" nillable="true" ma:displayName="Funding" ma:format="Dropdown" ma:internalName="Funding">
      <xsd:simpleType>
        <xsd:restriction base="dms:Choice">
          <xsd:enumeration value="HOME"/>
          <xsd:enumeration value="CDBG"/>
          <xsd:enumeration value="NSP"/>
        </xsd:restriction>
      </xsd:simpleType>
    </xsd:element>
  </xsd:schema>
  <xsd:schema xmlns:xsd="http://www.w3.org/2001/XMLSchema" xmlns:xs="http://www.w3.org/2001/XMLSchema" xmlns:dms="http://schemas.microsoft.com/office/2006/documentManagement/types" xmlns:pc="http://schemas.microsoft.com/office/infopath/2007/PartnerControls" targetNamespace="ba46730b-c407-432f-8349-c152ee394015"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deaa692-75c4-4ccc-8e99-1829ae6c8539}" ma:internalName="TaxCatchAll" ma:showField="CatchAllData" ma:web="ba46730b-c407-432f-8349-c152ee39401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167e7b-b703-4d72-a433-43eae6792792" xsi:nil="true"/>
    <TaxCatchAll xmlns="ba46730b-c407-432f-8349-c152ee394015" xsi:nil="true"/>
    <_ip_UnifiedCompliancePolicyUIAction xmlns="http://schemas.microsoft.com/sharepoint/v3" xsi:nil="true"/>
    <DateTime xmlns="7d167e7b-b703-4d72-a433-43eae6792792" xsi:nil="true"/>
    <Funding xmlns="7d167e7b-b703-4d72-a433-43eae6792792"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86E70F-FEC4-428D-9E65-690188D98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167e7b-b703-4d72-a433-43eae6792792"/>
    <ds:schemaRef ds:uri="ba46730b-c407-432f-8349-c152ee3940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B7AC66-2953-4CC7-BBB9-8449EAD8F7EB}">
  <ds:schemaRefs>
    <ds:schemaRef ds:uri="http://www.w3.org/XML/1998/namespace"/>
    <ds:schemaRef ds:uri="http://purl.org/dc/dcmitype/"/>
    <ds:schemaRef ds:uri="http://schemas.microsoft.com/office/infopath/2007/PartnerControls"/>
    <ds:schemaRef ds:uri="http://schemas.openxmlformats.org/package/2006/metadata/core-properties"/>
    <ds:schemaRef ds:uri="7d167e7b-b703-4d72-a433-43eae6792792"/>
    <ds:schemaRef ds:uri="http://schemas.microsoft.com/sharepoint/v3"/>
    <ds:schemaRef ds:uri="http://schemas.microsoft.com/office/2006/metadata/properties"/>
    <ds:schemaRef ds:uri="http://schemas.microsoft.com/office/2006/documentManagement/types"/>
    <ds:schemaRef ds:uri="http://purl.org/dc/elements/1.1/"/>
    <ds:schemaRef ds:uri="ba46730b-c407-432f-8349-c152ee394015"/>
    <ds:schemaRef ds:uri="http://purl.org/dc/terms/"/>
  </ds:schemaRefs>
</ds:datastoreItem>
</file>

<file path=customXml/itemProps3.xml><?xml version="1.0" encoding="utf-8"?>
<ds:datastoreItem xmlns:ds="http://schemas.openxmlformats.org/officeDocument/2006/customXml" ds:itemID="{5C50DF90-7442-4632-8F9B-582DD0E7D1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Unit Summary - Rent Roll</vt:lpstr>
      <vt:lpstr>Financials-FTHP &amp; GAHP</vt:lpstr>
      <vt:lpstr>Financials- SWHP</vt:lpstr>
      <vt:lpstr>List</vt:lpstr>
      <vt:lpstr>Investment Summary</vt:lpstr>
      <vt:lpstr>Legacy Resident Reference</vt:lpstr>
      <vt:lpstr>Data - Reference</vt:lpstr>
    </vt:vector>
  </TitlesOfParts>
  <Manager/>
  <Company>Plante Moran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 Austermann</dc:creator>
  <cp:keywords/>
  <dc:description/>
  <cp:lastModifiedBy>Elaina Peterson</cp:lastModifiedBy>
  <cp:revision/>
  <dcterms:created xsi:type="dcterms:W3CDTF">2024-11-12T21:04:24Z</dcterms:created>
  <dcterms:modified xsi:type="dcterms:W3CDTF">2025-09-05T13:27:39Z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0x0101008168606127B74A4CAF70515A283242B5</vt:lpwstr>
  </property>
  <property fmtid="{D5CDD505-2E9C-101B-9397-08002B2CF9AE}" pid="3" name="_dlc_DocIdItemGuid">
    <vt:lpwstr>0d9e5b76-9ac0-416c-9a18-29c8523812c3</vt:lpwstr>
  </property>
  <property fmtid="{D5CDD505-2E9C-101B-9397-08002B2CF9AE}" pid="4" name="MediaServiceImageTags">
    <vt:lpwstr/>
  </property>
</Properties>
</file>