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idetroitmius-my.sharepoint.com/personal/elaina_peterson_detroitmi_gov/Documents/Desktop/"/>
    </mc:Choice>
  </mc:AlternateContent>
  <xr:revisionPtr revIDLastSave="0" documentId="8_{73B82101-19A9-461B-993F-79FF531628FF}" xr6:coauthVersionLast="47" xr6:coauthVersionMax="47" xr10:uidLastSave="{00000000-0000-0000-0000-000000000000}"/>
  <bookViews>
    <workbookView xWindow="-108" yWindow="-108" windowWidth="23256" windowHeight="12456" xr2:uid="{F961B051-ADF4-4FC7-9235-64D7F872513E}"/>
  </bookViews>
  <sheets>
    <sheet name="Overview" sheetId="4" r:id="rId1"/>
    <sheet name="Unit Summary - Rent Roll" sheetId="7" r:id="rId2"/>
    <sheet name="Financials-FTHP &amp; GAHP" sheetId="5" r:id="rId3"/>
    <sheet name="Financials- SWHP" sheetId="6" r:id="rId4"/>
    <sheet name="Investment Summary" sheetId="8" r:id="rId5"/>
    <sheet name="List" sheetId="3" state="hidden" r:id="rId6"/>
    <sheet name="Data - Reference" sheetId="2" r:id="rId7"/>
    <sheet name="Current Tenant Policy-Reference" sheetId="11" r:id="rId8"/>
  </sheets>
  <definedNames>
    <definedName name="_xlnm._FilterDatabase" localSheetId="6" hidden="1">'Data - Reference'!$B$37:$J$50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2" i="6" l="1"/>
  <c r="AF32" i="6"/>
  <c r="AF126" i="7"/>
  <c r="AF125" i="7"/>
  <c r="AF124" i="7"/>
  <c r="AF123" i="7"/>
  <c r="AF122" i="7"/>
  <c r="AF121" i="7"/>
  <c r="AF120" i="7"/>
  <c r="AF119" i="7"/>
  <c r="AF118" i="7"/>
  <c r="AF117" i="7"/>
  <c r="AF116" i="7"/>
  <c r="AF115" i="7"/>
  <c r="AF114" i="7"/>
  <c r="AF113" i="7"/>
  <c r="AF112" i="7"/>
  <c r="AF111" i="7"/>
  <c r="AF110" i="7"/>
  <c r="AF109" i="7"/>
  <c r="AF108" i="7"/>
  <c r="AF107" i="7"/>
  <c r="AF106" i="7"/>
  <c r="AF105" i="7"/>
  <c r="AF104" i="7"/>
  <c r="AF103" i="7"/>
  <c r="AF102" i="7"/>
  <c r="AF101" i="7"/>
  <c r="AF100" i="7"/>
  <c r="AF99" i="7"/>
  <c r="AF98" i="7"/>
  <c r="AF97" i="7"/>
  <c r="AF96" i="7"/>
  <c r="AF95" i="7"/>
  <c r="AF94" i="7"/>
  <c r="AF93" i="7"/>
  <c r="AF92" i="7"/>
  <c r="AF91" i="7"/>
  <c r="AF90" i="7"/>
  <c r="AF89" i="7"/>
  <c r="AF88" i="7"/>
  <c r="AF87" i="7"/>
  <c r="AF86" i="7"/>
  <c r="AF85" i="7"/>
  <c r="AF84" i="7"/>
  <c r="AF83" i="7"/>
  <c r="AF82" i="7"/>
  <c r="AF81" i="7"/>
  <c r="AF80" i="7"/>
  <c r="AF79" i="7"/>
  <c r="AF78" i="7"/>
  <c r="AF77" i="7"/>
  <c r="AF76" i="7"/>
  <c r="AF75" i="7"/>
  <c r="AF74" i="7"/>
  <c r="AF73" i="7"/>
  <c r="AF72" i="7"/>
  <c r="AF71" i="7"/>
  <c r="AF70" i="7"/>
  <c r="AF69" i="7"/>
  <c r="AF68" i="7"/>
  <c r="AF67" i="7"/>
  <c r="AF66" i="7"/>
  <c r="AF65" i="7"/>
  <c r="AF64" i="7"/>
  <c r="AF63" i="7"/>
  <c r="AF62" i="7"/>
  <c r="AF61" i="7"/>
  <c r="AF60" i="7"/>
  <c r="AF59" i="7"/>
  <c r="AF58" i="7"/>
  <c r="AF57" i="7"/>
  <c r="AF56" i="7"/>
  <c r="AF55" i="7"/>
  <c r="AF54" i="7"/>
  <c r="AF53" i="7"/>
  <c r="AF52" i="7"/>
  <c r="AF51" i="7"/>
  <c r="AF50" i="7"/>
  <c r="AF49" i="7"/>
  <c r="AF48" i="7"/>
  <c r="AF47" i="7"/>
  <c r="AF46" i="7"/>
  <c r="AF45" i="7"/>
  <c r="AF44" i="7"/>
  <c r="AF43" i="7"/>
  <c r="AF42" i="7"/>
  <c r="AF41" i="7"/>
  <c r="AF40" i="7"/>
  <c r="AF39" i="7"/>
  <c r="AF38" i="7"/>
  <c r="AF37" i="7"/>
  <c r="AF36" i="7"/>
  <c r="AF35" i="7"/>
  <c r="AF34" i="7"/>
  <c r="AF26" i="7"/>
  <c r="AF25" i="7"/>
  <c r="AH26" i="7"/>
  <c r="AH25" i="7"/>
  <c r="M24" i="4"/>
  <c r="N24" i="4"/>
  <c r="O24" i="4"/>
  <c r="P24" i="4"/>
  <c r="Q24" i="4"/>
  <c r="M25" i="4"/>
  <c r="N25" i="4"/>
  <c r="O25" i="4"/>
  <c r="P25" i="4"/>
  <c r="Q25" i="4"/>
  <c r="M26" i="4"/>
  <c r="N26" i="4"/>
  <c r="O26" i="4"/>
  <c r="P26" i="4"/>
  <c r="Q26" i="4"/>
  <c r="M27" i="4"/>
  <c r="N27" i="4"/>
  <c r="O27" i="4"/>
  <c r="P27" i="4"/>
  <c r="Q27" i="4"/>
  <c r="M28" i="4"/>
  <c r="N28" i="4"/>
  <c r="O28" i="4"/>
  <c r="P28" i="4"/>
  <c r="Q28" i="4"/>
  <c r="M29" i="4"/>
  <c r="N29" i="4"/>
  <c r="O29" i="4"/>
  <c r="P29" i="4"/>
  <c r="Q29" i="4"/>
  <c r="M30" i="4"/>
  <c r="N30" i="4"/>
  <c r="O30" i="4"/>
  <c r="P30" i="4"/>
  <c r="Q30" i="4"/>
  <c r="M31" i="4"/>
  <c r="N31" i="4"/>
  <c r="O31" i="4"/>
  <c r="P31" i="4"/>
  <c r="Q31" i="4"/>
  <c r="M32" i="4"/>
  <c r="N32" i="4"/>
  <c r="O32" i="4"/>
  <c r="P32" i="4"/>
  <c r="Q32" i="4"/>
  <c r="M33" i="4"/>
  <c r="N33" i="4"/>
  <c r="O33" i="4"/>
  <c r="P33" i="4"/>
  <c r="Q33" i="4"/>
  <c r="M34" i="4"/>
  <c r="N34" i="4"/>
  <c r="O34" i="4"/>
  <c r="P34" i="4"/>
  <c r="Q34" i="4"/>
  <c r="M35" i="4"/>
  <c r="N35" i="4"/>
  <c r="O35" i="4"/>
  <c r="P35" i="4"/>
  <c r="Q35" i="4"/>
  <c r="M36" i="4"/>
  <c r="N36" i="4"/>
  <c r="O36" i="4"/>
  <c r="P36" i="4"/>
  <c r="Q36" i="4"/>
  <c r="M37" i="4"/>
  <c r="N37" i="4"/>
  <c r="O37" i="4"/>
  <c r="P37" i="4"/>
  <c r="Q37" i="4"/>
  <c r="M38" i="4"/>
  <c r="N38" i="4"/>
  <c r="O38" i="4"/>
  <c r="P38" i="4"/>
  <c r="Q38" i="4"/>
  <c r="M39" i="4"/>
  <c r="N39" i="4"/>
  <c r="O39" i="4"/>
  <c r="P39" i="4"/>
  <c r="Q39" i="4"/>
  <c r="M40" i="4"/>
  <c r="N40" i="4"/>
  <c r="O40" i="4"/>
  <c r="P40" i="4"/>
  <c r="Q40" i="4"/>
  <c r="M41" i="4"/>
  <c r="N41" i="4"/>
  <c r="O41" i="4"/>
  <c r="P41" i="4"/>
  <c r="Q41" i="4"/>
  <c r="M42" i="4"/>
  <c r="N42" i="4"/>
  <c r="O42" i="4"/>
  <c r="P42" i="4"/>
  <c r="Q42" i="4"/>
  <c r="M43" i="4"/>
  <c r="N43" i="4"/>
  <c r="O43" i="4"/>
  <c r="P43" i="4"/>
  <c r="Q43" i="4"/>
  <c r="M44" i="4"/>
  <c r="N44" i="4"/>
  <c r="O44" i="4"/>
  <c r="P44" i="4"/>
  <c r="Q44" i="4"/>
  <c r="M45" i="4"/>
  <c r="N45" i="4"/>
  <c r="O45" i="4"/>
  <c r="P45" i="4"/>
  <c r="Q45" i="4"/>
  <c r="AJ126" i="7"/>
  <c r="AJ125" i="7"/>
  <c r="AJ124" i="7"/>
  <c r="AJ123" i="7"/>
  <c r="AJ122" i="7"/>
  <c r="AK122" i="7" s="1"/>
  <c r="AJ121" i="7"/>
  <c r="AK121" i="7" s="1"/>
  <c r="AJ120" i="7"/>
  <c r="AJ119" i="7"/>
  <c r="AJ118" i="7"/>
  <c r="AK118" i="7" s="1"/>
  <c r="AJ117" i="7"/>
  <c r="AK117" i="7" s="1"/>
  <c r="AJ116" i="7"/>
  <c r="AJ115" i="7"/>
  <c r="AK115" i="7" s="1"/>
  <c r="AJ114" i="7"/>
  <c r="AJ113" i="7"/>
  <c r="AJ112" i="7"/>
  <c r="AJ111" i="7"/>
  <c r="AJ110" i="7"/>
  <c r="AJ109" i="7"/>
  <c r="AJ108" i="7"/>
  <c r="AK108" i="7" s="1"/>
  <c r="AJ107" i="7"/>
  <c r="AJ106" i="7"/>
  <c r="AJ105" i="7"/>
  <c r="AJ104" i="7"/>
  <c r="AK104" i="7" s="1"/>
  <c r="AJ103" i="7"/>
  <c r="AK103" i="7" s="1"/>
  <c r="AJ102" i="7"/>
  <c r="AJ101" i="7"/>
  <c r="AJ100" i="7"/>
  <c r="AJ99" i="7"/>
  <c r="AJ98" i="7"/>
  <c r="AJ97" i="7"/>
  <c r="AJ96" i="7"/>
  <c r="AK96" i="7" s="1"/>
  <c r="AJ95" i="7"/>
  <c r="AK95" i="7" s="1"/>
  <c r="AJ94" i="7"/>
  <c r="AK94" i="7" s="1"/>
  <c r="AJ93" i="7"/>
  <c r="AK93" i="7" s="1"/>
  <c r="AJ92" i="7"/>
  <c r="AK92" i="7" s="1"/>
  <c r="AJ91" i="7"/>
  <c r="AK91" i="7" s="1"/>
  <c r="AJ90" i="7"/>
  <c r="AJ89" i="7"/>
  <c r="AJ88" i="7"/>
  <c r="AJ87" i="7"/>
  <c r="AJ86" i="7"/>
  <c r="AK86" i="7" s="1"/>
  <c r="AJ85" i="7"/>
  <c r="AK85" i="7" s="1"/>
  <c r="AJ84" i="7"/>
  <c r="AJ83" i="7"/>
  <c r="AK83" i="7" s="1"/>
  <c r="AJ82" i="7"/>
  <c r="AK82" i="7" s="1"/>
  <c r="AJ81" i="7"/>
  <c r="AK81" i="7" s="1"/>
  <c r="AJ80" i="7"/>
  <c r="AK80" i="7" s="1"/>
  <c r="AJ79" i="7"/>
  <c r="AK79" i="7" s="1"/>
  <c r="AJ78" i="7"/>
  <c r="AJ77" i="7"/>
  <c r="AJ76" i="7"/>
  <c r="AJ75" i="7"/>
  <c r="AJ74" i="7"/>
  <c r="AJ73" i="7"/>
  <c r="AJ72" i="7"/>
  <c r="AK72" i="7" s="1"/>
  <c r="AJ71" i="7"/>
  <c r="AK71" i="7" s="1"/>
  <c r="AJ70" i="7"/>
  <c r="AJ69" i="7"/>
  <c r="AJ68" i="7"/>
  <c r="AK68" i="7" s="1"/>
  <c r="AJ67" i="7"/>
  <c r="AK67" i="7" s="1"/>
  <c r="AJ66" i="7"/>
  <c r="AJ65" i="7"/>
  <c r="AJ64" i="7"/>
  <c r="AJ63" i="7"/>
  <c r="AJ62" i="7"/>
  <c r="AJ61" i="7"/>
  <c r="AJ60" i="7"/>
  <c r="AK60" i="7" s="1"/>
  <c r="AJ59" i="7"/>
  <c r="AK59" i="7" s="1"/>
  <c r="AJ58" i="7"/>
  <c r="AK58" i="7" s="1"/>
  <c r="AJ57" i="7"/>
  <c r="AK57" i="7" s="1"/>
  <c r="AJ56" i="7"/>
  <c r="AK56" i="7" s="1"/>
  <c r="AJ55" i="7"/>
  <c r="AK55" i="7" s="1"/>
  <c r="AJ54" i="7"/>
  <c r="AJ53" i="7"/>
  <c r="AJ52" i="7"/>
  <c r="AJ51" i="7"/>
  <c r="AJ50" i="7"/>
  <c r="AK50" i="7" s="1"/>
  <c r="AJ49" i="7"/>
  <c r="AK49" i="7" s="1"/>
  <c r="AJ48" i="7"/>
  <c r="AJ47" i="7"/>
  <c r="AJ46" i="7"/>
  <c r="AK46" i="7" s="1"/>
  <c r="AJ45" i="7"/>
  <c r="AK45" i="7" s="1"/>
  <c r="AJ44" i="7"/>
  <c r="AJ43" i="7"/>
  <c r="AK43" i="7" s="1"/>
  <c r="AJ42" i="7"/>
  <c r="AJ41" i="7"/>
  <c r="AJ40" i="7"/>
  <c r="AJ39" i="7"/>
  <c r="AJ38" i="7"/>
  <c r="AJ37" i="7"/>
  <c r="AJ36" i="7"/>
  <c r="AK36" i="7" s="1"/>
  <c r="AJ35" i="7"/>
  <c r="AJ34" i="7"/>
  <c r="AJ33" i="7"/>
  <c r="AJ32" i="7"/>
  <c r="AJ31" i="7"/>
  <c r="AJ30" i="7"/>
  <c r="AK30" i="7" s="1"/>
  <c r="AJ29" i="7"/>
  <c r="AJ28" i="7"/>
  <c r="AJ26" i="7"/>
  <c r="AJ25" i="7"/>
  <c r="AJ27" i="7"/>
  <c r="I33" i="7"/>
  <c r="O33" i="7"/>
  <c r="S33" i="7"/>
  <c r="T33" i="7"/>
  <c r="V33" i="7"/>
  <c r="W33" i="7"/>
  <c r="X33" i="7"/>
  <c r="Y33" i="7"/>
  <c r="I30" i="7"/>
  <c r="O30" i="7"/>
  <c r="S30" i="7"/>
  <c r="T30" i="7"/>
  <c r="V30" i="7"/>
  <c r="W30" i="7"/>
  <c r="X30" i="7"/>
  <c r="Y30" i="7"/>
  <c r="Z30" i="7" s="1"/>
  <c r="I32" i="7"/>
  <c r="O32" i="7"/>
  <c r="S32" i="7"/>
  <c r="T32" i="7"/>
  <c r="V32" i="7"/>
  <c r="W32" i="7"/>
  <c r="X32" i="7"/>
  <c r="Y32" i="7"/>
  <c r="Z32" i="7" s="1"/>
  <c r="I31" i="7"/>
  <c r="O31" i="7"/>
  <c r="S31" i="7"/>
  <c r="T31" i="7"/>
  <c r="V31" i="7"/>
  <c r="W31" i="7"/>
  <c r="X31" i="7"/>
  <c r="Y31" i="7"/>
  <c r="O26" i="7"/>
  <c r="O28" i="7"/>
  <c r="O27" i="7"/>
  <c r="D34" i="4"/>
  <c r="D33" i="4"/>
  <c r="AK112" i="7"/>
  <c r="AK107" i="7"/>
  <c r="AK106" i="7"/>
  <c r="AK105" i="7"/>
  <c r="AK88" i="7"/>
  <c r="AK70" i="7"/>
  <c r="AK69" i="7"/>
  <c r="AK64" i="7"/>
  <c r="AK40" i="7"/>
  <c r="AK35" i="7"/>
  <c r="AK34" i="7"/>
  <c r="AK28" i="7"/>
  <c r="AK126" i="7"/>
  <c r="AK123" i="7"/>
  <c r="AK114" i="7"/>
  <c r="AK111" i="7"/>
  <c r="AK110" i="7"/>
  <c r="AK109" i="7"/>
  <c r="AK102" i="7"/>
  <c r="AK99" i="7"/>
  <c r="AK98" i="7"/>
  <c r="AK97" i="7"/>
  <c r="AK90" i="7"/>
  <c r="AK87" i="7"/>
  <c r="AK78" i="7"/>
  <c r="AK75" i="7"/>
  <c r="AK74" i="7"/>
  <c r="AK73" i="7"/>
  <c r="AK66" i="7"/>
  <c r="AK63" i="7"/>
  <c r="AK62" i="7"/>
  <c r="AK61" i="7"/>
  <c r="AK54" i="7"/>
  <c r="AK51" i="7"/>
  <c r="AK42" i="7"/>
  <c r="AK39" i="7"/>
  <c r="AK38" i="7"/>
  <c r="AK37" i="7"/>
  <c r="AK125" i="7"/>
  <c r="AK124" i="7"/>
  <c r="AK120" i="7"/>
  <c r="AK119" i="7"/>
  <c r="AK116" i="7"/>
  <c r="AK113" i="7"/>
  <c r="AK101" i="7"/>
  <c r="AK100" i="7"/>
  <c r="AK89" i="7"/>
  <c r="AK84" i="7"/>
  <c r="AK77" i="7"/>
  <c r="AK76" i="7"/>
  <c r="AK65" i="7"/>
  <c r="AK53" i="7"/>
  <c r="AK52" i="7"/>
  <c r="AK48" i="7"/>
  <c r="AK47" i="7"/>
  <c r="AK44" i="7"/>
  <c r="AK41" i="7"/>
  <c r="AG26" i="7"/>
  <c r="AG25" i="7"/>
  <c r="I28" i="7"/>
  <c r="X27" i="7"/>
  <c r="X28" i="7"/>
  <c r="Y126" i="7"/>
  <c r="Y125" i="7"/>
  <c r="Y124"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X126" i="7"/>
  <c r="X125" i="7"/>
  <c r="X124" i="7"/>
  <c r="X123" i="7"/>
  <c r="X122" i="7"/>
  <c r="X121" i="7"/>
  <c r="X120" i="7"/>
  <c r="X119" i="7"/>
  <c r="X118" i="7"/>
  <c r="X117" i="7"/>
  <c r="X116" i="7"/>
  <c r="X115" i="7"/>
  <c r="X114" i="7"/>
  <c r="X113" i="7"/>
  <c r="X112" i="7"/>
  <c r="X111" i="7"/>
  <c r="X110" i="7"/>
  <c r="X109" i="7"/>
  <c r="X108" i="7"/>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29" i="7"/>
  <c r="R45" i="4" l="1"/>
  <c r="AF32" i="7"/>
  <c r="AA32" i="7"/>
  <c r="AC32" i="7"/>
  <c r="AD32" i="7" s="1"/>
  <c r="AB32" i="7"/>
  <c r="AF30" i="7"/>
  <c r="AC30" i="7"/>
  <c r="AD30" i="7" s="1"/>
  <c r="AA30" i="7"/>
  <c r="AB30" i="7"/>
  <c r="Z33" i="7"/>
  <c r="AF33" i="7" s="1"/>
  <c r="AK27" i="7"/>
  <c r="Z31" i="7"/>
  <c r="AC31" i="7" s="1"/>
  <c r="AK33" i="7"/>
  <c r="AK32" i="7"/>
  <c r="AK31" i="7"/>
  <c r="D32" i="4"/>
  <c r="O29"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H116" i="5"/>
  <c r="D18" i="4"/>
  <c r="AE32" i="7" l="1"/>
  <c r="AH32" i="7" s="1"/>
  <c r="AE30" i="7"/>
  <c r="AH30" i="7" s="1"/>
  <c r="AB33" i="7"/>
  <c r="AC33" i="7"/>
  <c r="AD33" i="7" s="1"/>
  <c r="AA33" i="7"/>
  <c r="AA31" i="7"/>
  <c r="AF31" i="7"/>
  <c r="AB31" i="7"/>
  <c r="AI30" i="7"/>
  <c r="AI32" i="7"/>
  <c r="AD31" i="7"/>
  <c r="AE31" i="7"/>
  <c r="AH31" i="7" s="1"/>
  <c r="AK29" i="7"/>
  <c r="W13" i="2"/>
  <c r="W14" i="2"/>
  <c r="W15" i="2"/>
  <c r="W16" i="2"/>
  <c r="W17" i="2"/>
  <c r="W18" i="2"/>
  <c r="W19" i="2"/>
  <c r="W20" i="2"/>
  <c r="W21" i="2"/>
  <c r="W22" i="2"/>
  <c r="W23" i="2"/>
  <c r="Q13" i="2"/>
  <c r="Q14" i="2"/>
  <c r="Q15" i="2"/>
  <c r="Q16" i="2"/>
  <c r="Q17" i="2"/>
  <c r="Q18" i="2"/>
  <c r="Q19" i="2"/>
  <c r="Q20" i="2"/>
  <c r="Q21" i="2"/>
  <c r="Q22" i="2"/>
  <c r="Q23" i="2"/>
  <c r="K13" i="2"/>
  <c r="K14" i="2"/>
  <c r="K15" i="2"/>
  <c r="K16" i="2"/>
  <c r="K17" i="2"/>
  <c r="K18" i="2"/>
  <c r="K19" i="2"/>
  <c r="K20" i="2"/>
  <c r="K21" i="2"/>
  <c r="K22" i="2"/>
  <c r="K23" i="2"/>
  <c r="D17" i="4"/>
  <c r="Q23" i="4"/>
  <c r="Q46" i="4" s="1"/>
  <c r="P23" i="4"/>
  <c r="P46" i="4" s="1"/>
  <c r="O23" i="4"/>
  <c r="O46" i="4" s="1"/>
  <c r="N23" i="4"/>
  <c r="N46" i="4" s="1"/>
  <c r="M23" i="4"/>
  <c r="M46" i="4" s="1"/>
  <c r="AC26" i="7"/>
  <c r="AC25" i="7"/>
  <c r="AE25" i="7" s="1"/>
  <c r="AE33" i="7" l="1"/>
  <c r="AH33" i="7" s="1"/>
  <c r="AG30" i="7"/>
  <c r="AG32" i="7"/>
  <c r="AI31" i="7"/>
  <c r="X70" i="6"/>
  <c r="W70" i="6"/>
  <c r="V70" i="6"/>
  <c r="O68" i="5"/>
  <c r="N68" i="5"/>
  <c r="M68" i="5"/>
  <c r="R26" i="4"/>
  <c r="R31" i="4"/>
  <c r="R33" i="4"/>
  <c r="R24" i="4"/>
  <c r="R29" i="4"/>
  <c r="R34" i="4"/>
  <c r="R27" i="4"/>
  <c r="R32" i="4"/>
  <c r="R25" i="4"/>
  <c r="R30" i="4"/>
  <c r="R28" i="4"/>
  <c r="AI25" i="7"/>
  <c r="AE26" i="7"/>
  <c r="AD26" i="7"/>
  <c r="R23" i="4"/>
  <c r="AD25" i="7"/>
  <c r="AI33" i="7" l="1"/>
  <c r="AG33" i="7" s="1"/>
  <c r="AG31" i="7"/>
  <c r="AI26" i="7"/>
  <c r="AK26" i="7"/>
  <c r="K12" i="2"/>
  <c r="K11" i="2"/>
  <c r="T27" i="7"/>
  <c r="J55" i="2"/>
  <c r="I55" i="2"/>
  <c r="H55" i="2"/>
  <c r="G55" i="2"/>
  <c r="F55" i="2"/>
  <c r="E55" i="2"/>
  <c r="D55" i="2"/>
  <c r="C55" i="2"/>
  <c r="J54" i="2"/>
  <c r="I54" i="2"/>
  <c r="H54" i="2"/>
  <c r="G54" i="2"/>
  <c r="F54" i="2"/>
  <c r="E54" i="2"/>
  <c r="D54" i="2"/>
  <c r="C54" i="2"/>
  <c r="J53" i="2"/>
  <c r="I53" i="2"/>
  <c r="H53" i="2"/>
  <c r="G53" i="2"/>
  <c r="F53" i="2"/>
  <c r="E53" i="2"/>
  <c r="D53" i="2"/>
  <c r="C53" i="2"/>
  <c r="J52" i="2"/>
  <c r="I52" i="2"/>
  <c r="H52" i="2"/>
  <c r="G52" i="2"/>
  <c r="F52" i="2"/>
  <c r="E52" i="2"/>
  <c r="D52" i="2"/>
  <c r="C52" i="2"/>
  <c r="J51" i="2"/>
  <c r="I51" i="2"/>
  <c r="H51" i="2"/>
  <c r="G51" i="2"/>
  <c r="F51" i="2"/>
  <c r="E51" i="2"/>
  <c r="D51" i="2"/>
  <c r="C51" i="2"/>
  <c r="J50" i="2"/>
  <c r="I50" i="2"/>
  <c r="H50" i="2"/>
  <c r="G50" i="2"/>
  <c r="F50" i="2"/>
  <c r="E50" i="2"/>
  <c r="D50" i="2"/>
  <c r="C50" i="2"/>
  <c r="J49" i="2"/>
  <c r="I49" i="2"/>
  <c r="H49" i="2"/>
  <c r="G49" i="2"/>
  <c r="F49" i="2"/>
  <c r="E49" i="2"/>
  <c r="D49" i="2"/>
  <c r="C49" i="2"/>
  <c r="J48" i="2"/>
  <c r="I48" i="2"/>
  <c r="H48" i="2"/>
  <c r="G48" i="2"/>
  <c r="F48" i="2"/>
  <c r="E48" i="2"/>
  <c r="D48" i="2"/>
  <c r="C48" i="2"/>
  <c r="J47" i="2"/>
  <c r="I47" i="2"/>
  <c r="H47" i="2"/>
  <c r="G47" i="2"/>
  <c r="F47" i="2"/>
  <c r="E47" i="2"/>
  <c r="D47" i="2"/>
  <c r="C47" i="2"/>
  <c r="J46" i="2"/>
  <c r="I46" i="2"/>
  <c r="H46" i="2"/>
  <c r="G46" i="2"/>
  <c r="F46" i="2"/>
  <c r="E46" i="2"/>
  <c r="D46" i="2"/>
  <c r="C46" i="2"/>
  <c r="J45" i="2"/>
  <c r="I45" i="2"/>
  <c r="H45" i="2"/>
  <c r="G45" i="2"/>
  <c r="F45" i="2"/>
  <c r="E45" i="2"/>
  <c r="D45" i="2"/>
  <c r="C45" i="2"/>
  <c r="J44" i="2"/>
  <c r="I44" i="2"/>
  <c r="H44" i="2"/>
  <c r="G44" i="2"/>
  <c r="F44" i="2"/>
  <c r="E44" i="2"/>
  <c r="D44" i="2"/>
  <c r="C44" i="2"/>
  <c r="C39" i="2"/>
  <c r="D39" i="2"/>
  <c r="E39" i="2"/>
  <c r="F39" i="2"/>
  <c r="G39" i="2"/>
  <c r="H39" i="2"/>
  <c r="I39" i="2"/>
  <c r="J39" i="2"/>
  <c r="C40" i="2"/>
  <c r="D40" i="2"/>
  <c r="E40" i="2"/>
  <c r="F40" i="2"/>
  <c r="G40" i="2"/>
  <c r="H40" i="2"/>
  <c r="I40" i="2"/>
  <c r="J40" i="2"/>
  <c r="C41" i="2"/>
  <c r="D41" i="2"/>
  <c r="E41" i="2"/>
  <c r="F41" i="2"/>
  <c r="G41" i="2"/>
  <c r="H41" i="2"/>
  <c r="I41" i="2"/>
  <c r="J41" i="2"/>
  <c r="C42" i="2"/>
  <c r="D42" i="2"/>
  <c r="E42" i="2"/>
  <c r="F42" i="2"/>
  <c r="G42" i="2"/>
  <c r="H42" i="2"/>
  <c r="I42" i="2"/>
  <c r="J42" i="2"/>
  <c r="J38" i="2"/>
  <c r="I38" i="2"/>
  <c r="H38" i="2"/>
  <c r="G38" i="2"/>
  <c r="F38" i="2"/>
  <c r="E38" i="2"/>
  <c r="D38" i="2"/>
  <c r="C38" i="2"/>
  <c r="O25" i="7"/>
  <c r="T25" i="7"/>
  <c r="S25" i="7"/>
  <c r="I25" i="7"/>
  <c r="AK25" i="7" s="1"/>
  <c r="E28" i="2"/>
  <c r="F28" i="2"/>
  <c r="G28" i="2"/>
  <c r="E29" i="2"/>
  <c r="F29" i="2"/>
  <c r="G29" i="2"/>
  <c r="E30" i="2"/>
  <c r="F30" i="2"/>
  <c r="G30" i="2"/>
  <c r="G27" i="2"/>
  <c r="F27" i="2"/>
  <c r="E27" i="2"/>
  <c r="F12" i="2"/>
  <c r="F13" i="2"/>
  <c r="F14" i="2"/>
  <c r="F15" i="2"/>
  <c r="F16" i="2"/>
  <c r="F17" i="2"/>
  <c r="F18" i="2"/>
  <c r="F19" i="2"/>
  <c r="F20" i="2"/>
  <c r="F21" i="2"/>
  <c r="F22" i="2"/>
  <c r="F23" i="2"/>
  <c r="F24" i="2"/>
  <c r="F25" i="2"/>
  <c r="F11" i="2"/>
  <c r="G11" i="2"/>
  <c r="G12" i="2"/>
  <c r="G13" i="2"/>
  <c r="G14" i="2"/>
  <c r="G15" i="2"/>
  <c r="G16" i="2"/>
  <c r="G17" i="2"/>
  <c r="G18" i="2"/>
  <c r="G19" i="2"/>
  <c r="G20" i="2"/>
  <c r="G21" i="2"/>
  <c r="G22" i="2"/>
  <c r="G23" i="2"/>
  <c r="G24" i="2"/>
  <c r="G25" i="2"/>
  <c r="E11" i="2"/>
  <c r="E12" i="2"/>
  <c r="E13" i="2"/>
  <c r="E14" i="2"/>
  <c r="E15" i="2"/>
  <c r="E16" i="2"/>
  <c r="E17" i="2"/>
  <c r="E18" i="2"/>
  <c r="E19" i="2"/>
  <c r="E20" i="2"/>
  <c r="E21" i="2"/>
  <c r="E22" i="2"/>
  <c r="E23" i="2"/>
  <c r="E24" i="2"/>
  <c r="E25" i="2"/>
  <c r="G10" i="2"/>
  <c r="E10" i="2"/>
  <c r="D30" i="2"/>
  <c r="D29" i="2"/>
  <c r="D28" i="2"/>
  <c r="D27" i="2"/>
  <c r="D11" i="2"/>
  <c r="D12" i="2"/>
  <c r="D13" i="2"/>
  <c r="D14" i="2"/>
  <c r="D15" i="2"/>
  <c r="D16" i="2"/>
  <c r="D17" i="2"/>
  <c r="D18" i="2"/>
  <c r="D19" i="2"/>
  <c r="D20" i="2"/>
  <c r="D21" i="2"/>
  <c r="D22" i="2"/>
  <c r="D23" i="2"/>
  <c r="D24" i="2"/>
  <c r="D25" i="2"/>
  <c r="D10" i="2"/>
  <c r="C10" i="2"/>
  <c r="C30" i="2"/>
  <c r="C29" i="2"/>
  <c r="C28" i="2"/>
  <c r="C27" i="2"/>
  <c r="C11" i="2"/>
  <c r="C12" i="2"/>
  <c r="C13" i="2"/>
  <c r="C14" i="2"/>
  <c r="C15" i="2"/>
  <c r="C16" i="2"/>
  <c r="C17" i="2"/>
  <c r="C18" i="2"/>
  <c r="C19" i="2"/>
  <c r="C20" i="2"/>
  <c r="C21" i="2"/>
  <c r="C22" i="2"/>
  <c r="C23" i="2"/>
  <c r="C24" i="2"/>
  <c r="C25" i="2"/>
  <c r="AF57" i="6"/>
  <c r="Z50" i="6"/>
  <c r="Z49" i="6"/>
  <c r="Z48" i="6"/>
  <c r="Z47" i="6"/>
  <c r="Z46" i="6"/>
  <c r="Z38" i="6"/>
  <c r="Z37" i="6"/>
  <c r="Z36" i="6"/>
  <c r="Z35" i="6"/>
  <c r="Z19" i="6"/>
  <c r="Z18" i="6"/>
  <c r="R57" i="6"/>
  <c r="R55" i="6"/>
  <c r="R51" i="6"/>
  <c r="R50" i="6"/>
  <c r="R48" i="6"/>
  <c r="R47" i="6"/>
  <c r="R46" i="6"/>
  <c r="R45" i="6"/>
  <c r="R44" i="6"/>
  <c r="R43" i="6"/>
  <c r="R42" i="6"/>
  <c r="R41" i="6"/>
  <c r="R40" i="6"/>
  <c r="R39" i="6"/>
  <c r="R38" i="6"/>
  <c r="R37" i="6"/>
  <c r="R33" i="6"/>
  <c r="R32" i="6"/>
  <c r="R30" i="6"/>
  <c r="R29" i="6"/>
  <c r="R28" i="6"/>
  <c r="R27" i="6"/>
  <c r="R26" i="6"/>
  <c r="R25" i="6"/>
  <c r="R24" i="6"/>
  <c r="R23" i="6"/>
  <c r="R22" i="6"/>
  <c r="R21" i="6"/>
  <c r="R20" i="6"/>
  <c r="R19" i="6"/>
  <c r="R18" i="6"/>
  <c r="R17" i="6"/>
  <c r="H115" i="6"/>
  <c r="H113" i="6"/>
  <c r="H111" i="6"/>
  <c r="H110" i="6"/>
  <c r="H109" i="6"/>
  <c r="H108" i="6"/>
  <c r="H107" i="6"/>
  <c r="H104" i="6"/>
  <c r="H103" i="6"/>
  <c r="H102" i="6"/>
  <c r="H101" i="6"/>
  <c r="H100" i="6"/>
  <c r="H99" i="6"/>
  <c r="H98" i="6"/>
  <c r="H97" i="6"/>
  <c r="H96" i="6"/>
  <c r="H95" i="6"/>
  <c r="H92" i="6"/>
  <c r="H91" i="6"/>
  <c r="H90" i="6"/>
  <c r="H89" i="6"/>
  <c r="H88" i="6"/>
  <c r="H87" i="6"/>
  <c r="H86" i="6"/>
  <c r="H85" i="6"/>
  <c r="H82" i="6"/>
  <c r="H81" i="6"/>
  <c r="H80" i="6"/>
  <c r="H79" i="6"/>
  <c r="H78" i="6"/>
  <c r="H77" i="6"/>
  <c r="H76" i="6"/>
  <c r="H75" i="6"/>
  <c r="H74" i="6"/>
  <c r="H73" i="6"/>
  <c r="H70" i="6"/>
  <c r="H69" i="6"/>
  <c r="H68" i="6"/>
  <c r="H65" i="6"/>
  <c r="H64" i="6"/>
  <c r="H63" i="6"/>
  <c r="H62" i="6"/>
  <c r="H61" i="6"/>
  <c r="H60" i="6"/>
  <c r="H59" i="6"/>
  <c r="H56" i="6"/>
  <c r="H55" i="6"/>
  <c r="H54" i="6"/>
  <c r="H53" i="6"/>
  <c r="H52" i="6"/>
  <c r="H51" i="6"/>
  <c r="H50" i="6"/>
  <c r="H49" i="6"/>
  <c r="H43" i="6"/>
  <c r="H42" i="6"/>
  <c r="H41" i="6"/>
  <c r="H40" i="6"/>
  <c r="H39" i="6"/>
  <c r="H38" i="6"/>
  <c r="H37" i="6"/>
  <c r="H36" i="6"/>
  <c r="H35" i="6"/>
  <c r="H34" i="6"/>
  <c r="H31" i="6"/>
  <c r="H30" i="6"/>
  <c r="H29" i="6"/>
  <c r="H28" i="6"/>
  <c r="H27" i="6"/>
  <c r="H26" i="6"/>
  <c r="H25" i="6"/>
  <c r="H24" i="6"/>
  <c r="H20" i="6"/>
  <c r="H19" i="6"/>
  <c r="H18" i="6"/>
  <c r="H17" i="6"/>
  <c r="O58" i="5"/>
  <c r="O56" i="5"/>
  <c r="O52" i="5"/>
  <c r="O51" i="5"/>
  <c r="O49" i="5"/>
  <c r="O48" i="5"/>
  <c r="O47" i="5"/>
  <c r="O46" i="5"/>
  <c r="O45" i="5"/>
  <c r="O44" i="5"/>
  <c r="O43" i="5"/>
  <c r="O42" i="5"/>
  <c r="O41" i="5"/>
  <c r="O40" i="5"/>
  <c r="O39" i="5"/>
  <c r="O38" i="5"/>
  <c r="O34" i="5"/>
  <c r="O33" i="5"/>
  <c r="O31" i="5"/>
  <c r="O30" i="5"/>
  <c r="O29" i="5"/>
  <c r="O28" i="5"/>
  <c r="O27" i="5"/>
  <c r="O26" i="5"/>
  <c r="O25" i="5"/>
  <c r="O24" i="5"/>
  <c r="O23" i="5"/>
  <c r="O22" i="5"/>
  <c r="O21" i="5"/>
  <c r="O20" i="5"/>
  <c r="O19" i="5"/>
  <c r="O18" i="5"/>
  <c r="H114" i="5"/>
  <c r="H112" i="5"/>
  <c r="H111" i="5"/>
  <c r="H110" i="5"/>
  <c r="H109" i="5"/>
  <c r="H108" i="5"/>
  <c r="H105" i="5"/>
  <c r="H104" i="5"/>
  <c r="H103" i="5"/>
  <c r="H102" i="5"/>
  <c r="H101" i="5"/>
  <c r="H100" i="5"/>
  <c r="H99" i="5"/>
  <c r="H98" i="5"/>
  <c r="H97" i="5"/>
  <c r="H96" i="5"/>
  <c r="H93" i="5"/>
  <c r="H92" i="5"/>
  <c r="H91" i="5"/>
  <c r="H90" i="5"/>
  <c r="H89" i="5"/>
  <c r="H88" i="5"/>
  <c r="H87" i="5"/>
  <c r="H86" i="5"/>
  <c r="H83" i="5"/>
  <c r="H82" i="5"/>
  <c r="H81" i="5"/>
  <c r="H80" i="5"/>
  <c r="H79" i="5"/>
  <c r="H78" i="5"/>
  <c r="H77" i="5"/>
  <c r="H76" i="5"/>
  <c r="H75" i="5"/>
  <c r="H74" i="5"/>
  <c r="H71" i="5"/>
  <c r="H70" i="5"/>
  <c r="H69" i="5"/>
  <c r="H66" i="5"/>
  <c r="H65" i="5"/>
  <c r="H64" i="5"/>
  <c r="H63" i="5"/>
  <c r="H62" i="5"/>
  <c r="H61" i="5"/>
  <c r="H60" i="5"/>
  <c r="H57" i="5"/>
  <c r="H56" i="5"/>
  <c r="H55" i="5"/>
  <c r="H54" i="5"/>
  <c r="H53" i="5"/>
  <c r="H52" i="5"/>
  <c r="H51" i="5"/>
  <c r="H50" i="5"/>
  <c r="H44" i="5"/>
  <c r="H43" i="5"/>
  <c r="H42" i="5"/>
  <c r="H41" i="5"/>
  <c r="H40" i="5"/>
  <c r="H39" i="5"/>
  <c r="H38" i="5"/>
  <c r="H37" i="5"/>
  <c r="H36" i="5"/>
  <c r="H35" i="5"/>
  <c r="H32" i="5"/>
  <c r="H31" i="5"/>
  <c r="H30" i="5"/>
  <c r="H29" i="5"/>
  <c r="H28" i="5"/>
  <c r="H27" i="5"/>
  <c r="H26" i="5"/>
  <c r="H25" i="5"/>
  <c r="H21" i="5"/>
  <c r="H20" i="5"/>
  <c r="H19" i="5"/>
  <c r="H18" i="5"/>
  <c r="F127" i="7"/>
  <c r="D28" i="4"/>
  <c r="W12" i="2"/>
  <c r="W11" i="2"/>
  <c r="Q12" i="2"/>
  <c r="Q11" i="2"/>
  <c r="D32" i="2" l="1"/>
  <c r="C32" i="2"/>
  <c r="E32" i="2"/>
  <c r="F32" i="2"/>
  <c r="G32" i="2"/>
  <c r="O50" i="4"/>
  <c r="N49" i="4"/>
  <c r="O49" i="4" s="1"/>
  <c r="P49" i="4" s="1"/>
  <c r="Q49" i="4" s="1"/>
  <c r="R49" i="4" s="1"/>
  <c r="S49" i="4" s="1"/>
  <c r="T49" i="4" s="1"/>
  <c r="U49" i="4" s="1"/>
  <c r="V49" i="4" s="1"/>
  <c r="W49" i="4" s="1"/>
  <c r="X49" i="4" s="1"/>
  <c r="Y49" i="4" s="1"/>
  <c r="Z49" i="4" s="1"/>
  <c r="AA49" i="4" s="1"/>
  <c r="D41" i="8"/>
  <c r="Y29" i="7" l="1"/>
  <c r="Y27" i="7"/>
  <c r="Y28" i="7"/>
  <c r="P47" i="2"/>
  <c r="P46" i="2"/>
  <c r="P45" i="2"/>
  <c r="P44" i="2"/>
  <c r="P43" i="2"/>
  <c r="P42" i="2"/>
  <c r="P41" i="2"/>
  <c r="T126" i="7"/>
  <c r="T125" i="7"/>
  <c r="T124" i="7"/>
  <c r="T123" i="7"/>
  <c r="T122" i="7"/>
  <c r="T121" i="7"/>
  <c r="T120" i="7"/>
  <c r="T119" i="7"/>
  <c r="T118" i="7"/>
  <c r="T117" i="7"/>
  <c r="T116" i="7"/>
  <c r="T115" i="7"/>
  <c r="T114" i="7"/>
  <c r="T113" i="7"/>
  <c r="T112" i="7"/>
  <c r="T111" i="7"/>
  <c r="T110" i="7"/>
  <c r="T109" i="7"/>
  <c r="T108" i="7"/>
  <c r="T107" i="7"/>
  <c r="T106" i="7"/>
  <c r="T105" i="7"/>
  <c r="T104" i="7"/>
  <c r="T103" i="7"/>
  <c r="T102" i="7"/>
  <c r="T101" i="7"/>
  <c r="T100" i="7"/>
  <c r="T99" i="7"/>
  <c r="T98" i="7"/>
  <c r="T97" i="7"/>
  <c r="T96" i="7"/>
  <c r="T95" i="7"/>
  <c r="T94" i="7"/>
  <c r="T93" i="7"/>
  <c r="T92" i="7"/>
  <c r="T91" i="7"/>
  <c r="T90" i="7"/>
  <c r="T89" i="7"/>
  <c r="T88" i="7"/>
  <c r="T87" i="7"/>
  <c r="T86" i="7"/>
  <c r="T85" i="7"/>
  <c r="T84" i="7"/>
  <c r="T83" i="7"/>
  <c r="T82" i="7"/>
  <c r="T81" i="7"/>
  <c r="T80" i="7"/>
  <c r="T79" i="7"/>
  <c r="T78" i="7"/>
  <c r="T77" i="7"/>
  <c r="T76" i="7"/>
  <c r="T75" i="7"/>
  <c r="T74" i="7"/>
  <c r="T73" i="7"/>
  <c r="T72" i="7"/>
  <c r="T71" i="7"/>
  <c r="T70" i="7"/>
  <c r="T69" i="7"/>
  <c r="T68" i="7"/>
  <c r="T67" i="7"/>
  <c r="T66" i="7"/>
  <c r="T65" i="7"/>
  <c r="T64" i="7"/>
  <c r="T63" i="7"/>
  <c r="T62" i="7"/>
  <c r="T61" i="7"/>
  <c r="T60" i="7"/>
  <c r="T59" i="7"/>
  <c r="T58" i="7"/>
  <c r="T57" i="7"/>
  <c r="T56" i="7"/>
  <c r="T55" i="7"/>
  <c r="T54" i="7"/>
  <c r="T53" i="7"/>
  <c r="T52" i="7"/>
  <c r="T51" i="7"/>
  <c r="T50" i="7"/>
  <c r="T49" i="7"/>
  <c r="T48" i="7"/>
  <c r="T47" i="7"/>
  <c r="T46" i="7"/>
  <c r="T45" i="7"/>
  <c r="T44" i="7"/>
  <c r="T43" i="7"/>
  <c r="T42" i="7"/>
  <c r="T41" i="7"/>
  <c r="T40" i="7"/>
  <c r="T39" i="7"/>
  <c r="T38" i="7"/>
  <c r="T37" i="7"/>
  <c r="T36" i="7"/>
  <c r="T35" i="7"/>
  <c r="T34" i="7"/>
  <c r="T29" i="7"/>
  <c r="T28" i="7"/>
  <c r="G127" i="7"/>
  <c r="R127" i="7" s="1"/>
  <c r="T127" i="7" l="1"/>
  <c r="Z27" i="7"/>
  <c r="AF27" i="7" s="1"/>
  <c r="W71" i="6"/>
  <c r="AC27" i="7" l="1"/>
  <c r="H27" i="4"/>
  <c r="H26" i="4"/>
  <c r="H39" i="4"/>
  <c r="H40" i="4"/>
  <c r="H25" i="4"/>
  <c r="H24" i="4"/>
  <c r="H38" i="4"/>
  <c r="H37" i="4"/>
  <c r="H36" i="4"/>
  <c r="H35" i="4"/>
  <c r="H30" i="4"/>
  <c r="H29" i="4"/>
  <c r="H28" i="4"/>
  <c r="W126" i="7"/>
  <c r="W125" i="7"/>
  <c r="W124" i="7"/>
  <c r="W123" i="7"/>
  <c r="W122" i="7"/>
  <c r="W121" i="7"/>
  <c r="W120" i="7"/>
  <c r="W119" i="7"/>
  <c r="W118" i="7"/>
  <c r="W117" i="7"/>
  <c r="W116" i="7"/>
  <c r="W115" i="7"/>
  <c r="W114" i="7"/>
  <c r="W113" i="7"/>
  <c r="W112" i="7"/>
  <c r="W111" i="7"/>
  <c r="W110" i="7"/>
  <c r="W109" i="7"/>
  <c r="W108" i="7"/>
  <c r="W107" i="7"/>
  <c r="W106" i="7"/>
  <c r="W105" i="7"/>
  <c r="W104" i="7"/>
  <c r="W103" i="7"/>
  <c r="W102" i="7"/>
  <c r="W101" i="7"/>
  <c r="W100" i="7"/>
  <c r="W99" i="7"/>
  <c r="W98" i="7"/>
  <c r="W97" i="7"/>
  <c r="W96" i="7"/>
  <c r="W95" i="7"/>
  <c r="W94" i="7"/>
  <c r="W93" i="7"/>
  <c r="W92" i="7"/>
  <c r="W91" i="7"/>
  <c r="W90" i="7"/>
  <c r="W89" i="7"/>
  <c r="W88" i="7"/>
  <c r="W87" i="7"/>
  <c r="W86" i="7"/>
  <c r="W85" i="7"/>
  <c r="W84" i="7"/>
  <c r="W83" i="7"/>
  <c r="W82" i="7"/>
  <c r="W81" i="7"/>
  <c r="W80" i="7"/>
  <c r="W79" i="7"/>
  <c r="W78" i="7"/>
  <c r="W77" i="7"/>
  <c r="W76" i="7"/>
  <c r="W75" i="7"/>
  <c r="W74" i="7"/>
  <c r="W73" i="7"/>
  <c r="W72" i="7"/>
  <c r="W71" i="7"/>
  <c r="W70" i="7"/>
  <c r="W69" i="7"/>
  <c r="W68" i="7"/>
  <c r="W67" i="7"/>
  <c r="W66" i="7"/>
  <c r="W65" i="7"/>
  <c r="W64" i="7"/>
  <c r="W63" i="7"/>
  <c r="W62" i="7"/>
  <c r="W61" i="7"/>
  <c r="W60" i="7"/>
  <c r="W59" i="7"/>
  <c r="W58" i="7"/>
  <c r="W57" i="7"/>
  <c r="W56" i="7"/>
  <c r="W55" i="7"/>
  <c r="W54" i="7"/>
  <c r="W53" i="7"/>
  <c r="W52" i="7"/>
  <c r="W51" i="7"/>
  <c r="W50" i="7"/>
  <c r="W49" i="7"/>
  <c r="W48" i="7"/>
  <c r="W47" i="7"/>
  <c r="W46" i="7"/>
  <c r="W45" i="7"/>
  <c r="W44" i="7"/>
  <c r="W43" i="7"/>
  <c r="W42" i="7"/>
  <c r="W41" i="7"/>
  <c r="W40" i="7"/>
  <c r="W39" i="7"/>
  <c r="W38" i="7"/>
  <c r="W37" i="7"/>
  <c r="W36" i="7"/>
  <c r="W35" i="7"/>
  <c r="W34" i="7"/>
  <c r="W29" i="7"/>
  <c r="W28" i="7"/>
  <c r="W27" i="7"/>
  <c r="W127" i="7" l="1"/>
  <c r="F111" i="6"/>
  <c r="F104" i="6"/>
  <c r="F92" i="6"/>
  <c r="F82" i="6"/>
  <c r="F70" i="6"/>
  <c r="F65" i="6"/>
  <c r="F56" i="6"/>
  <c r="F31" i="6"/>
  <c r="F20" i="6"/>
  <c r="F112" i="5"/>
  <c r="F93" i="5"/>
  <c r="F83" i="5"/>
  <c r="F115" i="6" l="1"/>
  <c r="F34" i="6"/>
  <c r="F35" i="6"/>
  <c r="F36" i="6" l="1"/>
  <c r="F37" i="6" s="1"/>
  <c r="P57" i="6"/>
  <c r="F38" i="6" l="1"/>
  <c r="F39" i="6" s="1"/>
  <c r="F40" i="6" l="1"/>
  <c r="F43" i="6" l="1"/>
  <c r="F45" i="6" l="1"/>
  <c r="P56" i="6" l="1"/>
  <c r="H45" i="6"/>
  <c r="F117" i="6"/>
  <c r="I117" i="6" l="1"/>
  <c r="I108" i="6"/>
  <c r="I100" i="6"/>
  <c r="I92" i="6"/>
  <c r="I86" i="6"/>
  <c r="I78" i="6"/>
  <c r="I70" i="6"/>
  <c r="I62" i="6"/>
  <c r="I54" i="6"/>
  <c r="I38" i="6"/>
  <c r="I30" i="6"/>
  <c r="I24" i="6"/>
  <c r="I101" i="6"/>
  <c r="I79" i="6"/>
  <c r="I55" i="6"/>
  <c r="I25" i="6"/>
  <c r="H117" i="6"/>
  <c r="I95" i="6"/>
  <c r="I73" i="6"/>
  <c r="I115" i="6"/>
  <c r="I107" i="6"/>
  <c r="I99" i="6"/>
  <c r="I91" i="6"/>
  <c r="I85" i="6"/>
  <c r="I77" i="6"/>
  <c r="I69" i="6"/>
  <c r="I61" i="6"/>
  <c r="I53" i="6"/>
  <c r="I43" i="6"/>
  <c r="I37" i="6"/>
  <c r="I29" i="6"/>
  <c r="I20" i="6"/>
  <c r="I49" i="6"/>
  <c r="I109" i="6"/>
  <c r="I87" i="6"/>
  <c r="I63" i="6"/>
  <c r="I31" i="6"/>
  <c r="I113" i="6"/>
  <c r="I104" i="6"/>
  <c r="I98" i="6"/>
  <c r="I90" i="6"/>
  <c r="I82" i="6"/>
  <c r="I76" i="6"/>
  <c r="I68" i="6"/>
  <c r="I60" i="6"/>
  <c r="I52" i="6"/>
  <c r="I42" i="6"/>
  <c r="I36" i="6"/>
  <c r="I28" i="6"/>
  <c r="I19" i="6"/>
  <c r="I111" i="6"/>
  <c r="I103" i="6"/>
  <c r="I97" i="6"/>
  <c r="I89" i="6"/>
  <c r="I81" i="6"/>
  <c r="I75" i="6"/>
  <c r="I65" i="6"/>
  <c r="I59" i="6"/>
  <c r="I51" i="6"/>
  <c r="I41" i="6"/>
  <c r="I35" i="6"/>
  <c r="I27" i="6"/>
  <c r="I18" i="6"/>
  <c r="I110" i="6"/>
  <c r="I102" i="6"/>
  <c r="I96" i="6"/>
  <c r="I88" i="6"/>
  <c r="I80" i="6"/>
  <c r="I74" i="6"/>
  <c r="I64" i="6"/>
  <c r="I56" i="6"/>
  <c r="I50" i="6"/>
  <c r="I40" i="6"/>
  <c r="I34" i="6"/>
  <c r="I26" i="6"/>
  <c r="I17" i="6"/>
  <c r="I39" i="6"/>
  <c r="I45" i="6"/>
  <c r="R56" i="6"/>
  <c r="H127" i="7"/>
  <c r="D31" i="4" s="1"/>
  <c r="G116" i="5" s="1"/>
  <c r="V126" i="7"/>
  <c r="S126" i="7"/>
  <c r="I126" i="7"/>
  <c r="V125" i="7"/>
  <c r="S125" i="7"/>
  <c r="I125" i="7"/>
  <c r="V124" i="7"/>
  <c r="S124" i="7"/>
  <c r="I124" i="7"/>
  <c r="V123" i="7"/>
  <c r="S123" i="7"/>
  <c r="I123" i="7"/>
  <c r="V122" i="7"/>
  <c r="S122" i="7"/>
  <c r="I122" i="7"/>
  <c r="V121" i="7"/>
  <c r="S121" i="7"/>
  <c r="I121" i="7"/>
  <c r="V120" i="7"/>
  <c r="S120" i="7"/>
  <c r="I120" i="7"/>
  <c r="V119" i="7"/>
  <c r="S119" i="7"/>
  <c r="I119" i="7"/>
  <c r="V118" i="7"/>
  <c r="S118" i="7"/>
  <c r="I118" i="7"/>
  <c r="V117" i="7"/>
  <c r="S117" i="7"/>
  <c r="I117" i="7"/>
  <c r="Z116" i="7"/>
  <c r="AC116" i="7" s="1"/>
  <c r="V116" i="7"/>
  <c r="S116" i="7"/>
  <c r="I116" i="7"/>
  <c r="V115" i="7"/>
  <c r="S115" i="7"/>
  <c r="I115" i="7"/>
  <c r="V114" i="7"/>
  <c r="S114" i="7"/>
  <c r="I114" i="7"/>
  <c r="V113" i="7"/>
  <c r="S113" i="7"/>
  <c r="I113" i="7"/>
  <c r="V112" i="7"/>
  <c r="S112" i="7"/>
  <c r="I112" i="7"/>
  <c r="V111" i="7"/>
  <c r="S111" i="7"/>
  <c r="I111" i="7"/>
  <c r="V110" i="7"/>
  <c r="S110" i="7"/>
  <c r="I110" i="7"/>
  <c r="V109" i="7"/>
  <c r="S109" i="7"/>
  <c r="I109" i="7"/>
  <c r="V108" i="7"/>
  <c r="S108" i="7"/>
  <c r="I108" i="7"/>
  <c r="V107" i="7"/>
  <c r="S107" i="7"/>
  <c r="I107" i="7"/>
  <c r="V106" i="7"/>
  <c r="S106" i="7"/>
  <c r="I106" i="7"/>
  <c r="V105" i="7"/>
  <c r="S105" i="7"/>
  <c r="I105" i="7"/>
  <c r="V104" i="7"/>
  <c r="S104" i="7"/>
  <c r="I104" i="7"/>
  <c r="V103" i="7"/>
  <c r="S103" i="7"/>
  <c r="I103" i="7"/>
  <c r="V102" i="7"/>
  <c r="S102" i="7"/>
  <c r="I102" i="7"/>
  <c r="V101" i="7"/>
  <c r="S101" i="7"/>
  <c r="I101" i="7"/>
  <c r="V100" i="7"/>
  <c r="S100" i="7"/>
  <c r="I100" i="7"/>
  <c r="V99" i="7"/>
  <c r="S99" i="7"/>
  <c r="I99" i="7"/>
  <c r="V98" i="7"/>
  <c r="S98" i="7"/>
  <c r="I98" i="7"/>
  <c r="V97" i="7"/>
  <c r="S97" i="7"/>
  <c r="I97" i="7"/>
  <c r="V96" i="7"/>
  <c r="S96" i="7"/>
  <c r="I96" i="7"/>
  <c r="V95" i="7"/>
  <c r="S95" i="7"/>
  <c r="I95" i="7"/>
  <c r="V94" i="7"/>
  <c r="S94" i="7"/>
  <c r="I94" i="7"/>
  <c r="V93" i="7"/>
  <c r="S93" i="7"/>
  <c r="I93" i="7"/>
  <c r="V92" i="7"/>
  <c r="S92" i="7"/>
  <c r="I92" i="7"/>
  <c r="V91" i="7"/>
  <c r="S91" i="7"/>
  <c r="I91" i="7"/>
  <c r="V90" i="7"/>
  <c r="S90" i="7"/>
  <c r="I90" i="7"/>
  <c r="V89" i="7"/>
  <c r="S89" i="7"/>
  <c r="I89" i="7"/>
  <c r="V88" i="7"/>
  <c r="S88" i="7"/>
  <c r="I88" i="7"/>
  <c r="V87" i="7"/>
  <c r="S87" i="7"/>
  <c r="I87" i="7"/>
  <c r="V86" i="7"/>
  <c r="S86" i="7"/>
  <c r="I86" i="7"/>
  <c r="V85" i="7"/>
  <c r="S85" i="7"/>
  <c r="I85" i="7"/>
  <c r="V84" i="7"/>
  <c r="S84" i="7"/>
  <c r="I84" i="7"/>
  <c r="V83" i="7"/>
  <c r="S83" i="7"/>
  <c r="I83" i="7"/>
  <c r="V82" i="7"/>
  <c r="S82" i="7"/>
  <c r="I82" i="7"/>
  <c r="V81" i="7"/>
  <c r="S81" i="7"/>
  <c r="I81" i="7"/>
  <c r="V80" i="7"/>
  <c r="S80" i="7"/>
  <c r="I80" i="7"/>
  <c r="V79" i="7"/>
  <c r="S79" i="7"/>
  <c r="I79" i="7"/>
  <c r="V78" i="7"/>
  <c r="S78" i="7"/>
  <c r="I78" i="7"/>
  <c r="V77" i="7"/>
  <c r="S77" i="7"/>
  <c r="I77" i="7"/>
  <c r="V76" i="7"/>
  <c r="S76" i="7"/>
  <c r="I76" i="7"/>
  <c r="V75" i="7"/>
  <c r="S75" i="7"/>
  <c r="I75" i="7"/>
  <c r="V74" i="7"/>
  <c r="S74" i="7"/>
  <c r="I74" i="7"/>
  <c r="V73" i="7"/>
  <c r="S73" i="7"/>
  <c r="I73" i="7"/>
  <c r="V72" i="7"/>
  <c r="S72" i="7"/>
  <c r="I72" i="7"/>
  <c r="V71" i="7"/>
  <c r="S71" i="7"/>
  <c r="I71" i="7"/>
  <c r="V70" i="7"/>
  <c r="S70" i="7"/>
  <c r="I70" i="7"/>
  <c r="V69" i="7"/>
  <c r="S69" i="7"/>
  <c r="I69" i="7"/>
  <c r="V68" i="7"/>
  <c r="S68" i="7"/>
  <c r="I68" i="7"/>
  <c r="V67" i="7"/>
  <c r="S67" i="7"/>
  <c r="I67" i="7"/>
  <c r="V66" i="7"/>
  <c r="S66" i="7"/>
  <c r="I66" i="7"/>
  <c r="V65" i="7"/>
  <c r="S65" i="7"/>
  <c r="I65" i="7"/>
  <c r="V64" i="7"/>
  <c r="S64" i="7"/>
  <c r="I64" i="7"/>
  <c r="V63" i="7"/>
  <c r="S63" i="7"/>
  <c r="I63" i="7"/>
  <c r="V62" i="7"/>
  <c r="S62" i="7"/>
  <c r="I62" i="7"/>
  <c r="V61" i="7"/>
  <c r="S61" i="7"/>
  <c r="I61" i="7"/>
  <c r="V60" i="7"/>
  <c r="S60" i="7"/>
  <c r="I60" i="7"/>
  <c r="V59" i="7"/>
  <c r="S59" i="7"/>
  <c r="I59" i="7"/>
  <c r="V58" i="7"/>
  <c r="S58" i="7"/>
  <c r="I58" i="7"/>
  <c r="V57" i="7"/>
  <c r="S57" i="7"/>
  <c r="I57" i="7"/>
  <c r="V56" i="7"/>
  <c r="S56" i="7"/>
  <c r="I56" i="7"/>
  <c r="V55" i="7"/>
  <c r="S55" i="7"/>
  <c r="I55" i="7"/>
  <c r="V54" i="7"/>
  <c r="S54" i="7"/>
  <c r="I54" i="7"/>
  <c r="V53" i="7"/>
  <c r="S53" i="7"/>
  <c r="I53" i="7"/>
  <c r="V52" i="7"/>
  <c r="S52" i="7"/>
  <c r="I52" i="7"/>
  <c r="V51" i="7"/>
  <c r="S51" i="7"/>
  <c r="I51" i="7"/>
  <c r="V50" i="7"/>
  <c r="S50" i="7"/>
  <c r="I50" i="7"/>
  <c r="V49" i="7"/>
  <c r="S49" i="7"/>
  <c r="I49" i="7"/>
  <c r="V48" i="7"/>
  <c r="S48" i="7"/>
  <c r="I48" i="7"/>
  <c r="V47" i="7"/>
  <c r="S47" i="7"/>
  <c r="I47" i="7"/>
  <c r="V46" i="7"/>
  <c r="S46" i="7"/>
  <c r="I46" i="7"/>
  <c r="V45" i="7"/>
  <c r="S45" i="7"/>
  <c r="I45" i="7"/>
  <c r="V44" i="7"/>
  <c r="S44" i="7"/>
  <c r="I44" i="7"/>
  <c r="V43" i="7"/>
  <c r="S43" i="7"/>
  <c r="I43" i="7"/>
  <c r="V42" i="7"/>
  <c r="S42" i="7"/>
  <c r="I42" i="7"/>
  <c r="V41" i="7"/>
  <c r="S41" i="7"/>
  <c r="I41" i="7"/>
  <c r="V40" i="7"/>
  <c r="S40" i="7"/>
  <c r="I40" i="7"/>
  <c r="V39" i="7"/>
  <c r="S39" i="7"/>
  <c r="I39" i="7"/>
  <c r="V38" i="7"/>
  <c r="S38" i="7"/>
  <c r="I38" i="7"/>
  <c r="V37" i="7"/>
  <c r="S37" i="7"/>
  <c r="I37" i="7"/>
  <c r="V36" i="7"/>
  <c r="S36" i="7"/>
  <c r="I36" i="7"/>
  <c r="V35" i="7"/>
  <c r="S35" i="7"/>
  <c r="I35" i="7"/>
  <c r="V34" i="7"/>
  <c r="S34" i="7"/>
  <c r="I34" i="7"/>
  <c r="V29" i="7"/>
  <c r="S29" i="7"/>
  <c r="I29" i="7"/>
  <c r="V28" i="7"/>
  <c r="S28" i="7"/>
  <c r="D37" i="4"/>
  <c r="V27" i="7"/>
  <c r="S27" i="7"/>
  <c r="I27" i="7"/>
  <c r="D38" i="4" l="1"/>
  <c r="U127" i="7"/>
  <c r="V127" i="7" s="1"/>
  <c r="K128" i="7"/>
  <c r="D43" i="4" s="1"/>
  <c r="K127" i="7"/>
  <c r="O128" i="7"/>
  <c r="AB116" i="7"/>
  <c r="AE116" i="7"/>
  <c r="AH116" i="7" s="1"/>
  <c r="G128" i="7"/>
  <c r="D41" i="4" s="1"/>
  <c r="N75" i="5"/>
  <c r="M75" i="5"/>
  <c r="Z40" i="7"/>
  <c r="AC40" i="7" s="1"/>
  <c r="Z52" i="7"/>
  <c r="AC52" i="7" s="1"/>
  <c r="Z76" i="7"/>
  <c r="AC76" i="7" s="1"/>
  <c r="Z88" i="7"/>
  <c r="AC88" i="7" s="1"/>
  <c r="Z100" i="7"/>
  <c r="AC100" i="7" s="1"/>
  <c r="Z73" i="7"/>
  <c r="AC73" i="7" s="1"/>
  <c r="Z46" i="7"/>
  <c r="AC46" i="7" s="1"/>
  <c r="Z126" i="7"/>
  <c r="AC126" i="7" s="1"/>
  <c r="Z50" i="7"/>
  <c r="AC50" i="7" s="1"/>
  <c r="Z79" i="7"/>
  <c r="AC79" i="7" s="1"/>
  <c r="R36" i="4"/>
  <c r="R41" i="4"/>
  <c r="R39" i="4"/>
  <c r="R44" i="4"/>
  <c r="R37" i="4"/>
  <c r="R43" i="4"/>
  <c r="R42" i="4"/>
  <c r="R35" i="4"/>
  <c r="R40" i="4"/>
  <c r="R38" i="4"/>
  <c r="Z122" i="7"/>
  <c r="AC122" i="7" s="1"/>
  <c r="Z104" i="7"/>
  <c r="AC104" i="7" s="1"/>
  <c r="Z43" i="7"/>
  <c r="AC43" i="7" s="1"/>
  <c r="Z82" i="7"/>
  <c r="AC82" i="7" s="1"/>
  <c r="Z121" i="7"/>
  <c r="AC121" i="7" s="1"/>
  <c r="Z55" i="7"/>
  <c r="AC55" i="7" s="1"/>
  <c r="Z118" i="7"/>
  <c r="AC118" i="7" s="1"/>
  <c r="Z62" i="7"/>
  <c r="AC62" i="7" s="1"/>
  <c r="Z110" i="7"/>
  <c r="AC110" i="7" s="1"/>
  <c r="Z38" i="7"/>
  <c r="AC38" i="7" s="1"/>
  <c r="Z58" i="7"/>
  <c r="AC58" i="7" s="1"/>
  <c r="Z86" i="7"/>
  <c r="AC86" i="7" s="1"/>
  <c r="Z96" i="7"/>
  <c r="AC96" i="7" s="1"/>
  <c r="Z106" i="7"/>
  <c r="AC106" i="7" s="1"/>
  <c r="Z103" i="7"/>
  <c r="AC103" i="7" s="1"/>
  <c r="Z37" i="7"/>
  <c r="AC37" i="7" s="1"/>
  <c r="Z70" i="7"/>
  <c r="AC70" i="7" s="1"/>
  <c r="Z85" i="7"/>
  <c r="AC85" i="7" s="1"/>
  <c r="Z98" i="7"/>
  <c r="AC98" i="7" s="1"/>
  <c r="Z108" i="7"/>
  <c r="AC108" i="7" s="1"/>
  <c r="Z67" i="7"/>
  <c r="AC67" i="7" s="1"/>
  <c r="Z115" i="7"/>
  <c r="AC115" i="7" s="1"/>
  <c r="Z49" i="7"/>
  <c r="AC49" i="7" s="1"/>
  <c r="Z97" i="7"/>
  <c r="AC97" i="7" s="1"/>
  <c r="Z64" i="7"/>
  <c r="AC64" i="7" s="1"/>
  <c r="Z94" i="7"/>
  <c r="AC94" i="7" s="1"/>
  <c r="Z120" i="7"/>
  <c r="AC120" i="7" s="1"/>
  <c r="Z61" i="7"/>
  <c r="AC61" i="7" s="1"/>
  <c r="Z74" i="7"/>
  <c r="AC74" i="7" s="1"/>
  <c r="Z84" i="7"/>
  <c r="AC84" i="7" s="1"/>
  <c r="Z112" i="7"/>
  <c r="AC112" i="7" s="1"/>
  <c r="Z91" i="7"/>
  <c r="AC91" i="7" s="1"/>
  <c r="Z109" i="7"/>
  <c r="AC109" i="7" s="1"/>
  <c r="AA116" i="7"/>
  <c r="Z45" i="7"/>
  <c r="AC45" i="7" s="1"/>
  <c r="Z57" i="7"/>
  <c r="AC57" i="7" s="1"/>
  <c r="Z69" i="7"/>
  <c r="AC69" i="7" s="1"/>
  <c r="Z81" i="7"/>
  <c r="AC81" i="7" s="1"/>
  <c r="Z93" i="7"/>
  <c r="AC93" i="7" s="1"/>
  <c r="Z105" i="7"/>
  <c r="AC105" i="7" s="1"/>
  <c r="Z117" i="7"/>
  <c r="AC117" i="7" s="1"/>
  <c r="Z124" i="7"/>
  <c r="AC124" i="7" s="1"/>
  <c r="Z44" i="7"/>
  <c r="AC44" i="7" s="1"/>
  <c r="Z56" i="7"/>
  <c r="AC56" i="7" s="1"/>
  <c r="Z68" i="7"/>
  <c r="AC68" i="7" s="1"/>
  <c r="Z80" i="7"/>
  <c r="AC80" i="7" s="1"/>
  <c r="Z92" i="7"/>
  <c r="AC92" i="7" s="1"/>
  <c r="Z36" i="7"/>
  <c r="AC36" i="7" s="1"/>
  <c r="Z48" i="7"/>
  <c r="AC48" i="7" s="1"/>
  <c r="Z60" i="7"/>
  <c r="AC60" i="7" s="1"/>
  <c r="Z72" i="7"/>
  <c r="AC72" i="7" s="1"/>
  <c r="Z123" i="7"/>
  <c r="AC123" i="7" s="1"/>
  <c r="Z39" i="7"/>
  <c r="AC39" i="7" s="1"/>
  <c r="Z51" i="7"/>
  <c r="AC51" i="7" s="1"/>
  <c r="Z63" i="7"/>
  <c r="AC63" i="7" s="1"/>
  <c r="Z75" i="7"/>
  <c r="AC75" i="7" s="1"/>
  <c r="Z87" i="7"/>
  <c r="AC87" i="7" s="1"/>
  <c r="Z99" i="7"/>
  <c r="AC99" i="7" s="1"/>
  <c r="Z111" i="7"/>
  <c r="AC111" i="7" s="1"/>
  <c r="S127" i="7"/>
  <c r="Z42" i="7"/>
  <c r="AC42" i="7" s="1"/>
  <c r="Z54" i="7"/>
  <c r="AC54" i="7" s="1"/>
  <c r="Z66" i="7"/>
  <c r="AC66" i="7" s="1"/>
  <c r="Z78" i="7"/>
  <c r="AC78" i="7" s="1"/>
  <c r="Z90" i="7"/>
  <c r="AC90" i="7" s="1"/>
  <c r="Z102" i="7"/>
  <c r="AC102" i="7" s="1"/>
  <c r="Z114" i="7"/>
  <c r="AC114" i="7" s="1"/>
  <c r="I127" i="7"/>
  <c r="D36" i="4" s="1"/>
  <c r="Z35" i="7"/>
  <c r="AC35" i="7" s="1"/>
  <c r="Z41" i="7"/>
  <c r="AC41" i="7" s="1"/>
  <c r="Z47" i="7"/>
  <c r="AC47" i="7" s="1"/>
  <c r="Z53" i="7"/>
  <c r="AC53" i="7" s="1"/>
  <c r="Z59" i="7"/>
  <c r="AC59" i="7" s="1"/>
  <c r="Z65" i="7"/>
  <c r="AC65" i="7" s="1"/>
  <c r="Z71" i="7"/>
  <c r="AC71" i="7" s="1"/>
  <c r="Z77" i="7"/>
  <c r="AC77" i="7" s="1"/>
  <c r="Z83" i="7"/>
  <c r="AC83" i="7" s="1"/>
  <c r="Z89" i="7"/>
  <c r="AC89" i="7" s="1"/>
  <c r="Z95" i="7"/>
  <c r="AC95" i="7" s="1"/>
  <c r="Z101" i="7"/>
  <c r="AC101" i="7" s="1"/>
  <c r="Z107" i="7"/>
  <c r="AC107" i="7" s="1"/>
  <c r="Z113" i="7"/>
  <c r="AC113" i="7" s="1"/>
  <c r="Z119" i="7"/>
  <c r="AC119" i="7" s="1"/>
  <c r="Z125" i="7"/>
  <c r="AC125" i="7" s="1"/>
  <c r="R46" i="4" l="1"/>
  <c r="E13" i="4"/>
  <c r="D42" i="4"/>
  <c r="AI116" i="7"/>
  <c r="AG116" i="7" s="1"/>
  <c r="Y50" i="6"/>
  <c r="Y49" i="6"/>
  <c r="Y48" i="6"/>
  <c r="Y47" i="6"/>
  <c r="Y46" i="6"/>
  <c r="Y38" i="6"/>
  <c r="Y37" i="6"/>
  <c r="Y36" i="6"/>
  <c r="Y35" i="6"/>
  <c r="Y19" i="6"/>
  <c r="Y18" i="6"/>
  <c r="R80" i="6"/>
  <c r="Q57" i="6"/>
  <c r="Q56" i="6"/>
  <c r="Q55" i="6"/>
  <c r="Q51" i="6"/>
  <c r="Q50" i="6"/>
  <c r="Q48" i="6"/>
  <c r="Q47" i="6"/>
  <c r="Q46" i="6"/>
  <c r="Q45" i="6"/>
  <c r="Q44" i="6"/>
  <c r="Q43" i="6"/>
  <c r="Q42" i="6"/>
  <c r="Q41" i="6"/>
  <c r="Q40" i="6"/>
  <c r="Q39" i="6"/>
  <c r="Q38" i="6"/>
  <c r="Q37" i="6"/>
  <c r="Q33" i="6"/>
  <c r="Q32" i="6"/>
  <c r="Q30" i="6"/>
  <c r="Q29" i="6"/>
  <c r="Q28" i="6"/>
  <c r="Q27" i="6"/>
  <c r="Q26" i="6"/>
  <c r="Q25" i="6"/>
  <c r="Q24" i="6"/>
  <c r="Q23" i="6"/>
  <c r="Q22" i="6"/>
  <c r="Q21" i="6"/>
  <c r="Q20" i="6"/>
  <c r="Q19" i="6"/>
  <c r="Q18" i="6"/>
  <c r="Q17" i="6"/>
  <c r="G117" i="6"/>
  <c r="G115" i="6"/>
  <c r="G113" i="6"/>
  <c r="G111" i="6"/>
  <c r="G110" i="6"/>
  <c r="G109" i="6"/>
  <c r="G108" i="6"/>
  <c r="G107" i="6"/>
  <c r="G104" i="6"/>
  <c r="G103" i="6"/>
  <c r="G102" i="6"/>
  <c r="G101" i="6"/>
  <c r="G100" i="6"/>
  <c r="G99" i="6"/>
  <c r="G98" i="6"/>
  <c r="G97" i="6"/>
  <c r="G96" i="6"/>
  <c r="G95" i="6"/>
  <c r="G92" i="6"/>
  <c r="G91" i="6"/>
  <c r="G90" i="6"/>
  <c r="G89" i="6"/>
  <c r="G88" i="6"/>
  <c r="G87" i="6"/>
  <c r="G86" i="6"/>
  <c r="G85" i="6"/>
  <c r="G82" i="6"/>
  <c r="G81" i="6"/>
  <c r="G80" i="6"/>
  <c r="G79" i="6"/>
  <c r="G78" i="6"/>
  <c r="G77" i="6"/>
  <c r="G76" i="6"/>
  <c r="G75" i="6"/>
  <c r="G74" i="6"/>
  <c r="G73" i="6"/>
  <c r="G70" i="6"/>
  <c r="G69" i="6"/>
  <c r="G68" i="6"/>
  <c r="G65" i="6"/>
  <c r="G64" i="6"/>
  <c r="G63" i="6"/>
  <c r="G62" i="6"/>
  <c r="G61" i="6"/>
  <c r="G60" i="6"/>
  <c r="G59" i="6"/>
  <c r="G56" i="6"/>
  <c r="G55" i="6"/>
  <c r="G54" i="6"/>
  <c r="G53" i="6"/>
  <c r="G52" i="6"/>
  <c r="G51" i="6"/>
  <c r="G50" i="6"/>
  <c r="G49" i="6"/>
  <c r="G45" i="6"/>
  <c r="E45" i="6" s="1"/>
  <c r="G43" i="6"/>
  <c r="G42" i="6"/>
  <c r="G41" i="6"/>
  <c r="G40" i="6"/>
  <c r="G39" i="6"/>
  <c r="G38" i="6"/>
  <c r="G37" i="6"/>
  <c r="G36" i="6"/>
  <c r="G35" i="6"/>
  <c r="G34" i="6"/>
  <c r="G31" i="6"/>
  <c r="G30" i="6"/>
  <c r="G29" i="6"/>
  <c r="G28" i="6"/>
  <c r="G27" i="6"/>
  <c r="G26" i="6"/>
  <c r="G25" i="6"/>
  <c r="G24" i="6"/>
  <c r="G20" i="6"/>
  <c r="G19" i="6"/>
  <c r="G18" i="6"/>
  <c r="G17" i="6"/>
  <c r="N58" i="5"/>
  <c r="N56" i="5"/>
  <c r="N52" i="5"/>
  <c r="N51" i="5"/>
  <c r="N49" i="5"/>
  <c r="N48" i="5"/>
  <c r="N47" i="5"/>
  <c r="N46" i="5"/>
  <c r="N45" i="5"/>
  <c r="N44" i="5"/>
  <c r="N43" i="5"/>
  <c r="N42" i="5"/>
  <c r="N41" i="5"/>
  <c r="N40" i="5"/>
  <c r="N39" i="5"/>
  <c r="N38" i="5"/>
  <c r="N34" i="5"/>
  <c r="N33" i="5"/>
  <c r="N31" i="5"/>
  <c r="N30" i="5"/>
  <c r="N29" i="5"/>
  <c r="N28" i="5"/>
  <c r="N27" i="5"/>
  <c r="N26" i="5"/>
  <c r="N25" i="5"/>
  <c r="N24" i="5"/>
  <c r="N23" i="5"/>
  <c r="N22" i="5"/>
  <c r="N21" i="5"/>
  <c r="N20" i="5"/>
  <c r="N19" i="5"/>
  <c r="N18" i="5"/>
  <c r="G114" i="5"/>
  <c r="G112" i="5"/>
  <c r="G111" i="5"/>
  <c r="G110" i="5"/>
  <c r="G109" i="5"/>
  <c r="G108" i="5"/>
  <c r="G105" i="5"/>
  <c r="G104" i="5"/>
  <c r="G103" i="5"/>
  <c r="G102" i="5"/>
  <c r="G101" i="5"/>
  <c r="G100" i="5"/>
  <c r="G99" i="5"/>
  <c r="G98" i="5"/>
  <c r="G97" i="5"/>
  <c r="G96" i="5"/>
  <c r="G93" i="5"/>
  <c r="G92" i="5"/>
  <c r="G91" i="5"/>
  <c r="G90" i="5"/>
  <c r="G89" i="5"/>
  <c r="G88" i="5"/>
  <c r="G87" i="5"/>
  <c r="G86" i="5"/>
  <c r="G83" i="5"/>
  <c r="G82" i="5"/>
  <c r="G81" i="5"/>
  <c r="G80" i="5"/>
  <c r="G79" i="5"/>
  <c r="G78" i="5"/>
  <c r="G77" i="5"/>
  <c r="G76" i="5"/>
  <c r="G75" i="5"/>
  <c r="G74" i="5"/>
  <c r="G71" i="5"/>
  <c r="G70" i="5"/>
  <c r="G69" i="5"/>
  <c r="G66" i="5"/>
  <c r="G65" i="5"/>
  <c r="G64" i="5"/>
  <c r="G63" i="5"/>
  <c r="G62" i="5"/>
  <c r="G61" i="5"/>
  <c r="G60" i="5"/>
  <c r="G57" i="5"/>
  <c r="G56" i="5"/>
  <c r="G55" i="5"/>
  <c r="G54" i="5"/>
  <c r="G53" i="5"/>
  <c r="G52" i="5"/>
  <c r="G51" i="5"/>
  <c r="G50" i="5"/>
  <c r="G44" i="5"/>
  <c r="G43" i="5"/>
  <c r="G42" i="5"/>
  <c r="G41" i="5"/>
  <c r="G40" i="5"/>
  <c r="G39" i="5"/>
  <c r="G38" i="5"/>
  <c r="G37" i="5"/>
  <c r="G36" i="5"/>
  <c r="G35" i="5"/>
  <c r="G32" i="5"/>
  <c r="G31" i="5"/>
  <c r="G30" i="5"/>
  <c r="G29" i="5"/>
  <c r="G28" i="5"/>
  <c r="G27" i="5"/>
  <c r="G26" i="5"/>
  <c r="G25" i="5"/>
  <c r="G21" i="5"/>
  <c r="G20" i="5"/>
  <c r="G19" i="5"/>
  <c r="G18" i="5"/>
  <c r="I40" i="4"/>
  <c r="I39" i="4"/>
  <c r="I38" i="4"/>
  <c r="I37" i="4"/>
  <c r="I36" i="4"/>
  <c r="I35" i="4"/>
  <c r="I30" i="4"/>
  <c r="I29" i="4"/>
  <c r="I28" i="4"/>
  <c r="I27" i="4"/>
  <c r="I26" i="4"/>
  <c r="I25" i="4"/>
  <c r="I24" i="4"/>
  <c r="X30" i="6"/>
  <c r="X31" i="6"/>
  <c r="X25" i="6"/>
  <c r="X33" i="6"/>
  <c r="X26" i="6"/>
  <c r="X27" i="6"/>
  <c r="X29" i="6"/>
  <c r="X34" i="6"/>
  <c r="X24" i="6"/>
  <c r="X28" i="6"/>
  <c r="AE118" i="7"/>
  <c r="AH118" i="7" s="1"/>
  <c r="AE61" i="7"/>
  <c r="AH61" i="7" s="1"/>
  <c r="AE43" i="7"/>
  <c r="AH43" i="7" s="1"/>
  <c r="AE123" i="7"/>
  <c r="AH123" i="7" s="1"/>
  <c r="AD97" i="7"/>
  <c r="AD86" i="7"/>
  <c r="AE50" i="7"/>
  <c r="AH50" i="7" s="1"/>
  <c r="AE85" i="7"/>
  <c r="AH85" i="7" s="1"/>
  <c r="AE37" i="7"/>
  <c r="AH37" i="7" s="1"/>
  <c r="AE115" i="7"/>
  <c r="AH115" i="7" s="1"/>
  <c r="AE110" i="7"/>
  <c r="AH110" i="7" s="1"/>
  <c r="AD103" i="7"/>
  <c r="AE64" i="7"/>
  <c r="AH64" i="7" s="1"/>
  <c r="AE67" i="7"/>
  <c r="AH67" i="7" s="1"/>
  <c r="AE38" i="7"/>
  <c r="AH38" i="7" s="1"/>
  <c r="AE98" i="7"/>
  <c r="AH98" i="7" s="1"/>
  <c r="AD62" i="7"/>
  <c r="AE74" i="7"/>
  <c r="AH74" i="7" s="1"/>
  <c r="AE70" i="7"/>
  <c r="AH70" i="7" s="1"/>
  <c r="AD38" i="7"/>
  <c r="AB39" i="7"/>
  <c r="AB113" i="7"/>
  <c r="AB41" i="7"/>
  <c r="AB107" i="7"/>
  <c r="AB71" i="7"/>
  <c r="AB35" i="7"/>
  <c r="AB99" i="7"/>
  <c r="AB72" i="7"/>
  <c r="AB120" i="7"/>
  <c r="AB121" i="7"/>
  <c r="AE121" i="7"/>
  <c r="AH121" i="7" s="1"/>
  <c r="AD50" i="7"/>
  <c r="AB119" i="7"/>
  <c r="AB84" i="7"/>
  <c r="AB117" i="7"/>
  <c r="AB55" i="7"/>
  <c r="AE55" i="7"/>
  <c r="AH55" i="7" s="1"/>
  <c r="AB82" i="7"/>
  <c r="AB48" i="7"/>
  <c r="AB106" i="7"/>
  <c r="AB100" i="7"/>
  <c r="AD98" i="7"/>
  <c r="AB102" i="7"/>
  <c r="AD64" i="7"/>
  <c r="AB36" i="7"/>
  <c r="AB93" i="7"/>
  <c r="AB96" i="7"/>
  <c r="AB104" i="7"/>
  <c r="AE104" i="7"/>
  <c r="AH104" i="7" s="1"/>
  <c r="AB88" i="7"/>
  <c r="AB83" i="7"/>
  <c r="AB47" i="7"/>
  <c r="AB42" i="7"/>
  <c r="AB44" i="7"/>
  <c r="AB112" i="7"/>
  <c r="AB57" i="7"/>
  <c r="AB101" i="7"/>
  <c r="AB65" i="7"/>
  <c r="AB114" i="7"/>
  <c r="AB75" i="7"/>
  <c r="AB95" i="7"/>
  <c r="AB59" i="7"/>
  <c r="AB90" i="7"/>
  <c r="AB63" i="7"/>
  <c r="AB92" i="7"/>
  <c r="AB49" i="7"/>
  <c r="AE49" i="7"/>
  <c r="AH49" i="7" s="1"/>
  <c r="AB122" i="7"/>
  <c r="AB76" i="7"/>
  <c r="AB79" i="7"/>
  <c r="AE79" i="7"/>
  <c r="AH79" i="7" s="1"/>
  <c r="AB77" i="7"/>
  <c r="AB73" i="7"/>
  <c r="AE73" i="7"/>
  <c r="AH73" i="7" s="1"/>
  <c r="AB58" i="7"/>
  <c r="AB52" i="7"/>
  <c r="AB126" i="7"/>
  <c r="AD118" i="7"/>
  <c r="AB46" i="7"/>
  <c r="AB111" i="7"/>
  <c r="AB45" i="7"/>
  <c r="AB87" i="7"/>
  <c r="AB105" i="7"/>
  <c r="AB94" i="7"/>
  <c r="AB78" i="7"/>
  <c r="AB80" i="7"/>
  <c r="AB81" i="7"/>
  <c r="AB109" i="7"/>
  <c r="AE109" i="7"/>
  <c r="AH109" i="7" s="1"/>
  <c r="AB89" i="7"/>
  <c r="AB53" i="7"/>
  <c r="AB66" i="7"/>
  <c r="AB51" i="7"/>
  <c r="AB68" i="7"/>
  <c r="AD70" i="7"/>
  <c r="AB40" i="7"/>
  <c r="AB124" i="7"/>
  <c r="AB60" i="7"/>
  <c r="AB125" i="7"/>
  <c r="AB54" i="7"/>
  <c r="AB56" i="7"/>
  <c r="AB69" i="7"/>
  <c r="AB91" i="7"/>
  <c r="AE91" i="7"/>
  <c r="AH91" i="7" s="1"/>
  <c r="AB108" i="7"/>
  <c r="E31" i="8"/>
  <c r="E19" i="8"/>
  <c r="E18" i="8"/>
  <c r="E16" i="8"/>
  <c r="E37" i="8"/>
  <c r="E30" i="8"/>
  <c r="E26" i="8"/>
  <c r="E24" i="8"/>
  <c r="E23" i="8"/>
  <c r="E29" i="8"/>
  <c r="E17" i="8"/>
  <c r="E28" i="8"/>
  <c r="E38" i="8"/>
  <c r="E25" i="8"/>
  <c r="E36" i="8"/>
  <c r="E40" i="8"/>
  <c r="E22" i="8"/>
  <c r="E33" i="8"/>
  <c r="E21" i="8"/>
  <c r="E32" i="8"/>
  <c r="E39" i="8"/>
  <c r="E27" i="8"/>
  <c r="E34" i="8"/>
  <c r="E35" i="8"/>
  <c r="E20" i="8"/>
  <c r="AA76" i="7"/>
  <c r="AA52" i="7"/>
  <c r="AA88" i="7"/>
  <c r="AA100" i="7"/>
  <c r="AA106" i="7"/>
  <c r="AD116" i="7"/>
  <c r="AA40" i="7"/>
  <c r="AA121" i="7"/>
  <c r="AA49" i="7"/>
  <c r="AA82" i="7"/>
  <c r="AA120" i="7"/>
  <c r="AA46" i="7"/>
  <c r="AA79" i="7"/>
  <c r="AA126" i="7"/>
  <c r="AA48" i="7"/>
  <c r="AA94" i="7"/>
  <c r="AA55" i="7"/>
  <c r="AA73" i="7"/>
  <c r="AA58" i="7"/>
  <c r="AA123" i="7"/>
  <c r="AB123" i="7"/>
  <c r="AA38" i="7"/>
  <c r="AB38" i="7"/>
  <c r="AA98" i="7"/>
  <c r="AB98" i="7"/>
  <c r="AA110" i="7"/>
  <c r="AB110" i="7"/>
  <c r="AA108" i="7"/>
  <c r="AA85" i="7"/>
  <c r="AB85" i="7"/>
  <c r="AA67" i="7"/>
  <c r="AB67" i="7"/>
  <c r="AA86" i="7"/>
  <c r="AB86" i="7"/>
  <c r="AA72" i="7"/>
  <c r="AA61" i="7"/>
  <c r="AB61" i="7"/>
  <c r="AA70" i="7"/>
  <c r="AB70" i="7"/>
  <c r="AA62" i="7"/>
  <c r="AB62" i="7"/>
  <c r="AA60" i="7"/>
  <c r="AA37" i="7"/>
  <c r="AB37" i="7"/>
  <c r="AA118" i="7"/>
  <c r="AB118" i="7"/>
  <c r="AA74" i="7"/>
  <c r="AB74" i="7"/>
  <c r="AA104" i="7"/>
  <c r="AA50" i="7"/>
  <c r="AB50" i="7"/>
  <c r="AA122" i="7"/>
  <c r="AA91" i="7"/>
  <c r="AA64" i="7"/>
  <c r="AB64" i="7"/>
  <c r="AA103" i="7"/>
  <c r="AB103" i="7"/>
  <c r="AA97" i="7"/>
  <c r="AB97" i="7"/>
  <c r="AA115" i="7"/>
  <c r="AB115" i="7"/>
  <c r="AA43" i="7"/>
  <c r="AB43" i="7"/>
  <c r="AA114" i="7"/>
  <c r="AA84" i="7"/>
  <c r="AA112" i="7"/>
  <c r="AA109" i="7"/>
  <c r="AA42" i="7"/>
  <c r="AA124" i="7"/>
  <c r="AA54" i="7"/>
  <c r="AA36" i="7"/>
  <c r="AA96" i="7"/>
  <c r="AA63" i="7"/>
  <c r="AA105" i="7"/>
  <c r="AA51" i="7"/>
  <c r="AA39" i="7"/>
  <c r="AA80" i="7"/>
  <c r="AA81" i="7"/>
  <c r="AA68" i="7"/>
  <c r="AA92" i="7"/>
  <c r="AA90" i="7"/>
  <c r="AA56" i="7"/>
  <c r="AA111" i="7"/>
  <c r="AA44" i="7"/>
  <c r="AA93" i="7"/>
  <c r="AA78" i="7"/>
  <c r="AA99" i="7"/>
  <c r="AA57" i="7"/>
  <c r="AA102" i="7"/>
  <c r="AA87" i="7"/>
  <c r="AA69" i="7"/>
  <c r="AA75" i="7"/>
  <c r="AA117" i="7"/>
  <c r="AA45" i="7"/>
  <c r="AD123" i="7"/>
  <c r="AA66" i="7"/>
  <c r="AA95" i="7"/>
  <c r="AA59" i="7"/>
  <c r="AD115" i="7"/>
  <c r="AD43" i="7"/>
  <c r="AD37" i="7"/>
  <c r="AA125" i="7"/>
  <c r="AA89" i="7"/>
  <c r="AA53" i="7"/>
  <c r="AA83" i="7"/>
  <c r="AA47" i="7"/>
  <c r="AA119" i="7"/>
  <c r="AD85" i="7"/>
  <c r="AA113" i="7"/>
  <c r="AA77" i="7"/>
  <c r="AA41" i="7"/>
  <c r="AA71" i="7"/>
  <c r="AA35" i="7"/>
  <c r="AD67" i="7"/>
  <c r="AD61" i="7"/>
  <c r="AA107" i="7"/>
  <c r="AA101" i="7"/>
  <c r="AA65" i="7"/>
  <c r="AI109" i="7" l="1"/>
  <c r="AG109" i="7" s="1"/>
  <c r="AI70" i="7"/>
  <c r="AG70" i="7" s="1"/>
  <c r="AI50" i="7"/>
  <c r="AG50" i="7" s="1"/>
  <c r="AI49" i="7"/>
  <c r="AG49" i="7" s="1"/>
  <c r="AI91" i="7"/>
  <c r="AG91" i="7" s="1"/>
  <c r="AI115" i="7"/>
  <c r="AG115" i="7" s="1"/>
  <c r="AI98" i="7"/>
  <c r="AG98" i="7" s="1"/>
  <c r="AI104" i="7"/>
  <c r="AG104" i="7" s="1"/>
  <c r="AI55" i="7"/>
  <c r="AG55" i="7" s="1"/>
  <c r="AI38" i="7"/>
  <c r="AG38" i="7" s="1"/>
  <c r="AI43" i="7"/>
  <c r="AG43" i="7" s="1"/>
  <c r="AI110" i="7"/>
  <c r="AG110" i="7" s="1"/>
  <c r="AI37" i="7"/>
  <c r="AG37" i="7" s="1"/>
  <c r="AI85" i="7"/>
  <c r="AG85" i="7" s="1"/>
  <c r="AI74" i="7"/>
  <c r="AG74" i="7" s="1"/>
  <c r="AI73" i="7"/>
  <c r="AG73" i="7" s="1"/>
  <c r="AI123" i="7"/>
  <c r="AG123" i="7" s="1"/>
  <c r="AI67" i="7"/>
  <c r="AG67" i="7" s="1"/>
  <c r="AI61" i="7"/>
  <c r="AG61" i="7" s="1"/>
  <c r="AI121" i="7"/>
  <c r="AG121" i="7" s="1"/>
  <c r="AI79" i="7"/>
  <c r="AG79" i="7" s="1"/>
  <c r="AI64" i="7"/>
  <c r="AG64" i="7" s="1"/>
  <c r="AI118" i="7"/>
  <c r="AG118" i="7" s="1"/>
  <c r="Z28" i="6"/>
  <c r="Y28" i="6"/>
  <c r="Z24" i="6"/>
  <c r="Y24" i="6"/>
  <c r="Z34" i="6"/>
  <c r="Y34" i="6"/>
  <c r="Z29" i="6"/>
  <c r="Y29" i="6"/>
  <c r="Z27" i="6"/>
  <c r="Y27" i="6"/>
  <c r="Z26" i="6"/>
  <c r="Y26" i="6"/>
  <c r="Z33" i="6"/>
  <c r="Y33" i="6"/>
  <c r="Z25" i="6"/>
  <c r="Y25" i="6"/>
  <c r="Z31" i="6"/>
  <c r="Y31" i="6"/>
  <c r="Z30" i="6"/>
  <c r="Y30" i="6"/>
  <c r="AE86" i="7"/>
  <c r="AH86" i="7" s="1"/>
  <c r="AD74" i="7"/>
  <c r="AE103" i="7"/>
  <c r="AH103" i="7" s="1"/>
  <c r="AE62" i="7"/>
  <c r="AH62" i="7" s="1"/>
  <c r="AD110" i="7"/>
  <c r="AE97" i="7"/>
  <c r="AH97" i="7" s="1"/>
  <c r="AD109" i="7"/>
  <c r="AD49" i="7"/>
  <c r="AD104" i="7"/>
  <c r="AD55" i="7"/>
  <c r="AD91" i="7"/>
  <c r="AD121" i="7"/>
  <c r="AE96" i="7"/>
  <c r="AH96" i="7" s="1"/>
  <c r="AD96" i="7"/>
  <c r="AE42" i="7"/>
  <c r="AH42" i="7" s="1"/>
  <c r="AD42" i="7"/>
  <c r="AE77" i="7"/>
  <c r="AH77" i="7" s="1"/>
  <c r="AD77" i="7"/>
  <c r="AE63" i="7"/>
  <c r="AH63" i="7" s="1"/>
  <c r="AD63" i="7"/>
  <c r="AE65" i="7"/>
  <c r="AH65" i="7" s="1"/>
  <c r="AD65" i="7"/>
  <c r="AE47" i="7"/>
  <c r="AH47" i="7" s="1"/>
  <c r="AD47" i="7"/>
  <c r="AE107" i="7"/>
  <c r="AH107" i="7" s="1"/>
  <c r="AD107" i="7"/>
  <c r="AE66" i="7"/>
  <c r="AH66" i="7" s="1"/>
  <c r="AD66" i="7"/>
  <c r="AE41" i="7"/>
  <c r="AH41" i="7" s="1"/>
  <c r="AD41" i="7"/>
  <c r="AE54" i="7"/>
  <c r="AH54" i="7" s="1"/>
  <c r="AD54" i="7"/>
  <c r="AE114" i="7"/>
  <c r="AH114" i="7" s="1"/>
  <c r="AD114" i="7"/>
  <c r="AE125" i="7"/>
  <c r="AH125" i="7" s="1"/>
  <c r="AD125" i="7"/>
  <c r="AE78" i="7"/>
  <c r="AH78" i="7" s="1"/>
  <c r="AD78" i="7"/>
  <c r="AE60" i="7"/>
  <c r="AH60" i="7" s="1"/>
  <c r="AD60" i="7"/>
  <c r="AE53" i="7"/>
  <c r="AH53" i="7" s="1"/>
  <c r="AD53" i="7"/>
  <c r="AE94" i="7"/>
  <c r="AH94" i="7" s="1"/>
  <c r="AD94" i="7"/>
  <c r="AE120" i="7"/>
  <c r="AH120" i="7" s="1"/>
  <c r="AD120" i="7"/>
  <c r="AE124" i="7"/>
  <c r="AH124" i="7" s="1"/>
  <c r="AD124" i="7"/>
  <c r="AE89" i="7"/>
  <c r="AH89" i="7" s="1"/>
  <c r="AD89" i="7"/>
  <c r="AE105" i="7"/>
  <c r="AH105" i="7" s="1"/>
  <c r="AD105" i="7"/>
  <c r="AE76" i="7"/>
  <c r="AH76" i="7" s="1"/>
  <c r="AD76" i="7"/>
  <c r="AE59" i="7"/>
  <c r="AH59" i="7" s="1"/>
  <c r="AD59" i="7"/>
  <c r="AE57" i="7"/>
  <c r="AH57" i="7" s="1"/>
  <c r="AD57" i="7"/>
  <c r="AE88" i="7"/>
  <c r="AH88" i="7" s="1"/>
  <c r="AD88" i="7"/>
  <c r="AE102" i="7"/>
  <c r="AH102" i="7" s="1"/>
  <c r="AD102" i="7"/>
  <c r="AE72" i="7"/>
  <c r="AH72" i="7" s="1"/>
  <c r="AD72" i="7"/>
  <c r="AE113" i="7"/>
  <c r="AH113" i="7" s="1"/>
  <c r="AD113" i="7"/>
  <c r="AE111" i="7"/>
  <c r="AH111" i="7" s="1"/>
  <c r="AD111" i="7"/>
  <c r="AE48" i="7"/>
  <c r="AH48" i="7" s="1"/>
  <c r="AD48" i="7"/>
  <c r="AE36" i="7"/>
  <c r="AH36" i="7" s="1"/>
  <c r="AD36" i="7"/>
  <c r="AE101" i="7"/>
  <c r="AH101" i="7" s="1"/>
  <c r="AD101" i="7"/>
  <c r="AE126" i="7"/>
  <c r="AH126" i="7" s="1"/>
  <c r="AD126" i="7"/>
  <c r="AE69" i="7"/>
  <c r="AH69" i="7" s="1"/>
  <c r="AD69" i="7"/>
  <c r="AE40" i="7"/>
  <c r="AH40" i="7" s="1"/>
  <c r="AD40" i="7"/>
  <c r="AE52" i="7"/>
  <c r="AH52" i="7" s="1"/>
  <c r="AD52" i="7"/>
  <c r="AE117" i="7"/>
  <c r="AH117" i="7" s="1"/>
  <c r="AD117" i="7"/>
  <c r="AE106" i="7"/>
  <c r="AH106" i="7" s="1"/>
  <c r="AD106" i="7"/>
  <c r="AE92" i="7"/>
  <c r="AH92" i="7" s="1"/>
  <c r="AD92" i="7"/>
  <c r="AE93" i="7"/>
  <c r="AH93" i="7" s="1"/>
  <c r="AD93" i="7"/>
  <c r="AE82" i="7"/>
  <c r="AH82" i="7" s="1"/>
  <c r="AD82" i="7"/>
  <c r="AE90" i="7"/>
  <c r="AH90" i="7" s="1"/>
  <c r="AD90" i="7"/>
  <c r="AE87" i="7"/>
  <c r="AH87" i="7" s="1"/>
  <c r="AD87" i="7"/>
  <c r="AD122" i="7"/>
  <c r="AE122" i="7"/>
  <c r="AH122" i="7" s="1"/>
  <c r="AE95" i="7"/>
  <c r="AH95" i="7" s="1"/>
  <c r="AD95" i="7"/>
  <c r="AE112" i="7"/>
  <c r="AH112" i="7" s="1"/>
  <c r="AD112" i="7"/>
  <c r="AE99" i="7"/>
  <c r="AH99" i="7" s="1"/>
  <c r="AD99" i="7"/>
  <c r="AE51" i="7"/>
  <c r="AH51" i="7" s="1"/>
  <c r="AD51" i="7"/>
  <c r="AD73" i="7"/>
  <c r="AD56" i="7"/>
  <c r="AE56" i="7"/>
  <c r="AH56" i="7" s="1"/>
  <c r="AE100" i="7"/>
  <c r="AH100" i="7" s="1"/>
  <c r="AD100" i="7"/>
  <c r="AE84" i="7"/>
  <c r="AH84" i="7" s="1"/>
  <c r="AD84" i="7"/>
  <c r="AE39" i="7"/>
  <c r="AH39" i="7" s="1"/>
  <c r="AD39" i="7"/>
  <c r="AE119" i="7"/>
  <c r="AH119" i="7" s="1"/>
  <c r="AD119" i="7"/>
  <c r="AE80" i="7"/>
  <c r="AH80" i="7" s="1"/>
  <c r="AD80" i="7"/>
  <c r="AE71" i="7"/>
  <c r="AH71" i="7" s="1"/>
  <c r="AD71" i="7"/>
  <c r="AE46" i="7"/>
  <c r="AH46" i="7" s="1"/>
  <c r="AD46" i="7"/>
  <c r="AE108" i="7"/>
  <c r="AH108" i="7" s="1"/>
  <c r="AD108" i="7"/>
  <c r="AE83" i="7"/>
  <c r="AH83" i="7" s="1"/>
  <c r="AD83" i="7"/>
  <c r="AD79" i="7"/>
  <c r="AE68" i="7"/>
  <c r="AH68" i="7" s="1"/>
  <c r="AD68" i="7"/>
  <c r="AE81" i="7"/>
  <c r="AH81" i="7" s="1"/>
  <c r="AD81" i="7"/>
  <c r="AE45" i="7"/>
  <c r="AH45" i="7" s="1"/>
  <c r="AD45" i="7"/>
  <c r="AE58" i="7"/>
  <c r="AH58" i="7" s="1"/>
  <c r="AD58" i="7"/>
  <c r="AE75" i="7"/>
  <c r="AH75" i="7" s="1"/>
  <c r="AD75" i="7"/>
  <c r="AE44" i="7"/>
  <c r="AH44" i="7" s="1"/>
  <c r="AD44" i="7"/>
  <c r="AE35" i="7"/>
  <c r="AH35" i="7" s="1"/>
  <c r="AD35" i="7"/>
  <c r="E41" i="8"/>
  <c r="E42" i="8" s="1"/>
  <c r="AI113" i="7" l="1"/>
  <c r="AG113" i="7" s="1"/>
  <c r="AI108" i="7"/>
  <c r="AG108" i="7" s="1"/>
  <c r="AI84" i="7"/>
  <c r="AG84" i="7" s="1"/>
  <c r="AI62" i="7"/>
  <c r="AG62" i="7" s="1"/>
  <c r="AI75" i="7"/>
  <c r="AG75" i="7" s="1"/>
  <c r="AI76" i="7"/>
  <c r="AG76" i="7" s="1"/>
  <c r="AI92" i="7"/>
  <c r="AG92" i="7" s="1"/>
  <c r="AI105" i="7"/>
  <c r="AG105" i="7" s="1"/>
  <c r="AI66" i="7"/>
  <c r="AG66" i="7" s="1"/>
  <c r="AI103" i="7"/>
  <c r="AG103" i="7" s="1"/>
  <c r="AI100" i="7"/>
  <c r="AG100" i="7" s="1"/>
  <c r="AI56" i="7"/>
  <c r="AG56" i="7" s="1"/>
  <c r="AI89" i="7"/>
  <c r="AG89" i="7" s="1"/>
  <c r="AI96" i="7"/>
  <c r="AG96" i="7" s="1"/>
  <c r="AI69" i="7"/>
  <c r="AG69" i="7" s="1"/>
  <c r="AI41" i="7"/>
  <c r="AG41" i="7" s="1"/>
  <c r="AI39" i="7"/>
  <c r="AG39" i="7" s="1"/>
  <c r="AI93" i="7"/>
  <c r="AG93" i="7" s="1"/>
  <c r="AI126" i="7"/>
  <c r="AG126" i="7" s="1"/>
  <c r="AI106" i="7"/>
  <c r="AG106" i="7" s="1"/>
  <c r="AI107" i="7"/>
  <c r="AG107" i="7" s="1"/>
  <c r="AI80" i="7"/>
  <c r="AG80" i="7" s="1"/>
  <c r="AI57" i="7"/>
  <c r="AG57" i="7" s="1"/>
  <c r="AI97" i="7"/>
  <c r="AG97" i="7" s="1"/>
  <c r="AI77" i="7"/>
  <c r="AG77" i="7" s="1"/>
  <c r="AI122" i="7"/>
  <c r="AG122" i="7" s="1"/>
  <c r="AI101" i="7"/>
  <c r="AG101" i="7" s="1"/>
  <c r="AI117" i="7"/>
  <c r="AG117" i="7" s="1"/>
  <c r="AI35" i="7"/>
  <c r="AG35" i="7" s="1"/>
  <c r="AI119" i="7"/>
  <c r="AG119" i="7" s="1"/>
  <c r="AI83" i="7"/>
  <c r="AG83" i="7" s="1"/>
  <c r="AI112" i="7"/>
  <c r="AG112" i="7" s="1"/>
  <c r="AI53" i="7"/>
  <c r="AG53" i="7" s="1"/>
  <c r="AI58" i="7"/>
  <c r="AG58" i="7" s="1"/>
  <c r="AI95" i="7"/>
  <c r="AG95" i="7" s="1"/>
  <c r="AI72" i="7"/>
  <c r="AG72" i="7" s="1"/>
  <c r="AI60" i="7"/>
  <c r="AG60" i="7" s="1"/>
  <c r="AI42" i="7"/>
  <c r="AG42" i="7" s="1"/>
  <c r="AI46" i="7"/>
  <c r="AG46" i="7" s="1"/>
  <c r="AI45" i="7"/>
  <c r="AG45" i="7" s="1"/>
  <c r="AI102" i="7"/>
  <c r="AG102" i="7" s="1"/>
  <c r="AI78" i="7"/>
  <c r="AG78" i="7" s="1"/>
  <c r="AI86" i="7"/>
  <c r="AG86" i="7" s="1"/>
  <c r="AI71" i="7"/>
  <c r="AG71" i="7" s="1"/>
  <c r="AI81" i="7"/>
  <c r="AG81" i="7" s="1"/>
  <c r="AI87" i="7"/>
  <c r="AG87" i="7" s="1"/>
  <c r="AI36" i="7"/>
  <c r="AG36" i="7" s="1"/>
  <c r="AI88" i="7"/>
  <c r="AG88" i="7" s="1"/>
  <c r="AI124" i="7"/>
  <c r="AG124" i="7" s="1"/>
  <c r="AI125" i="7"/>
  <c r="AG125" i="7" s="1"/>
  <c r="AI47" i="7"/>
  <c r="AG47" i="7" s="1"/>
  <c r="AI68" i="7"/>
  <c r="AG68" i="7" s="1"/>
  <c r="AI51" i="7"/>
  <c r="AG51" i="7" s="1"/>
  <c r="AI90" i="7"/>
  <c r="AG90" i="7" s="1"/>
  <c r="AI52" i="7"/>
  <c r="AG52" i="7" s="1"/>
  <c r="AI48" i="7"/>
  <c r="AG48" i="7" s="1"/>
  <c r="AI120" i="7"/>
  <c r="AG120" i="7" s="1"/>
  <c r="AI114" i="7"/>
  <c r="AG114" i="7" s="1"/>
  <c r="AI65" i="7"/>
  <c r="AG65" i="7" s="1"/>
  <c r="AI44" i="7"/>
  <c r="AG44" i="7" s="1"/>
  <c r="AI99" i="7"/>
  <c r="AG99" i="7" s="1"/>
  <c r="AI82" i="7"/>
  <c r="AG82" i="7" s="1"/>
  <c r="AI40" i="7"/>
  <c r="AG40" i="7" s="1"/>
  <c r="AI111" i="7"/>
  <c r="AG111" i="7" s="1"/>
  <c r="AI59" i="7"/>
  <c r="AG59" i="7" s="1"/>
  <c r="AI94" i="7"/>
  <c r="AG94" i="7" s="1"/>
  <c r="AI54" i="7"/>
  <c r="AG54" i="7" s="1"/>
  <c r="AI63" i="7"/>
  <c r="AG63" i="7" s="1"/>
  <c r="F105" i="5"/>
  <c r="F71" i="5"/>
  <c r="F66" i="5"/>
  <c r="F57" i="5"/>
  <c r="F21" i="5"/>
  <c r="M56" i="5" s="1"/>
  <c r="H45" i="4" s="1"/>
  <c r="AJ15" i="6"/>
  <c r="AC16" i="6"/>
  <c r="AC17" i="6"/>
  <c r="AC18" i="6"/>
  <c r="AI18" i="6"/>
  <c r="AC19" i="6"/>
  <c r="AI19" i="6"/>
  <c r="AC20" i="6"/>
  <c r="AC21" i="6"/>
  <c r="AC22" i="6"/>
  <c r="AC23" i="6"/>
  <c r="AC24" i="6"/>
  <c r="AC25" i="6"/>
  <c r="AC26" i="6"/>
  <c r="AC27" i="6"/>
  <c r="AC28" i="6"/>
  <c r="AC29" i="6"/>
  <c r="AC30" i="6"/>
  <c r="AC31" i="6"/>
  <c r="AC32" i="6"/>
  <c r="AC33" i="6"/>
  <c r="AC34" i="6"/>
  <c r="AC35" i="6"/>
  <c r="AI35" i="6"/>
  <c r="AC36" i="6"/>
  <c r="AI36" i="6"/>
  <c r="AC37" i="6"/>
  <c r="AI37" i="6"/>
  <c r="AC38" i="6"/>
  <c r="AI38" i="6"/>
  <c r="AC39" i="6"/>
  <c r="AC40" i="6"/>
  <c r="AC41" i="6"/>
  <c r="AC42" i="6"/>
  <c r="AC43" i="6"/>
  <c r="AC44" i="6"/>
  <c r="AC45" i="6"/>
  <c r="U46" i="6"/>
  <c r="AC46" i="6" s="1"/>
  <c r="X46" i="6"/>
  <c r="U47" i="6"/>
  <c r="AC47" i="6" s="1"/>
  <c r="X47" i="6"/>
  <c r="AO47" i="6" s="1"/>
  <c r="U48" i="6"/>
  <c r="AC48" i="6" s="1"/>
  <c r="X48" i="6"/>
  <c r="AL48" i="6" s="1"/>
  <c r="U49" i="6"/>
  <c r="AC49" i="6" s="1"/>
  <c r="X49" i="6"/>
  <c r="AP49" i="6" s="1"/>
  <c r="AC50" i="6"/>
  <c r="AC51" i="6"/>
  <c r="AC52" i="6"/>
  <c r="AC53" i="6"/>
  <c r="AC54" i="6"/>
  <c r="AC59" i="6"/>
  <c r="I45" i="4" l="1"/>
  <c r="AS49" i="6"/>
  <c r="AU48" i="6"/>
  <c r="AJ38" i="6"/>
  <c r="AJ37" i="6"/>
  <c r="AJ35" i="6"/>
  <c r="AJ18" i="6"/>
  <c r="AK18" i="6" s="1"/>
  <c r="AJ36" i="6"/>
  <c r="AJ19" i="6"/>
  <c r="AW47" i="6"/>
  <c r="AI47" i="6"/>
  <c r="AP47" i="6"/>
  <c r="AR48" i="6"/>
  <c r="AT47" i="6"/>
  <c r="AN47" i="6"/>
  <c r="AK15" i="6"/>
  <c r="AV46" i="6"/>
  <c r="AM46" i="6"/>
  <c r="F116" i="5"/>
  <c r="AM47" i="6"/>
  <c r="AQ46" i="6"/>
  <c r="AL47" i="6"/>
  <c r="AP46" i="6"/>
  <c r="AK47" i="6"/>
  <c r="AO46" i="6"/>
  <c r="AW48" i="6"/>
  <c r="AJ47" i="6"/>
  <c r="AN46" i="6"/>
  <c r="AT48" i="6"/>
  <c r="AV47" i="6"/>
  <c r="AL46" i="6"/>
  <c r="AS48" i="6"/>
  <c r="AU47" i="6"/>
  <c r="AJ46" i="6"/>
  <c r="AK48" i="6"/>
  <c r="AS47" i="6"/>
  <c r="AI48" i="6"/>
  <c r="AR47" i="6"/>
  <c r="AO49" i="6"/>
  <c r="AN49" i="6"/>
  <c r="AT49" i="6"/>
  <c r="AI49" i="6"/>
  <c r="AU49" i="6"/>
  <c r="AJ49" i="6"/>
  <c r="AV49" i="6"/>
  <c r="AK49" i="6"/>
  <c r="AW49" i="6"/>
  <c r="AL49" i="6"/>
  <c r="AM49" i="6"/>
  <c r="AQ49" i="6"/>
  <c r="AR49" i="6"/>
  <c r="P55" i="6"/>
  <c r="X50" i="6"/>
  <c r="AV48" i="6"/>
  <c r="AJ48" i="6"/>
  <c r="AQ48" i="6"/>
  <c r="AW46" i="6"/>
  <c r="AK46" i="6"/>
  <c r="AP48" i="6"/>
  <c r="AO48" i="6"/>
  <c r="AU46" i="6"/>
  <c r="AI46" i="6"/>
  <c r="AN48" i="6"/>
  <c r="AQ47" i="6"/>
  <c r="AT46" i="6"/>
  <c r="AM48" i="6"/>
  <c r="AS46" i="6"/>
  <c r="AR46" i="6"/>
  <c r="AO50" i="6" l="1"/>
  <c r="AO57" i="6" s="1"/>
  <c r="AK36" i="6"/>
  <c r="AK35" i="6"/>
  <c r="AK37" i="6"/>
  <c r="AK38" i="6"/>
  <c r="AK19" i="6"/>
  <c r="AP50" i="6"/>
  <c r="AP57" i="6" s="1"/>
  <c r="AL15" i="6"/>
  <c r="AM15" i="6" s="1"/>
  <c r="AN15" i="6" s="1"/>
  <c r="AO15" i="6" s="1"/>
  <c r="AP15" i="6" s="1"/>
  <c r="AQ15" i="6" s="1"/>
  <c r="AR15" i="6" s="1"/>
  <c r="AS15" i="6" s="1"/>
  <c r="AT15" i="6" s="1"/>
  <c r="AU15" i="6" s="1"/>
  <c r="AV15" i="6" s="1"/>
  <c r="AW15" i="6" s="1"/>
  <c r="AT50" i="6"/>
  <c r="AT57" i="6" s="1"/>
  <c r="AQ50" i="6"/>
  <c r="AQ57" i="6" s="1"/>
  <c r="AN50" i="6"/>
  <c r="AN57" i="6" s="1"/>
  <c r="AU50" i="6"/>
  <c r="AU57" i="6" s="1"/>
  <c r="AL50" i="6"/>
  <c r="AL57" i="6" s="1"/>
  <c r="AW50" i="6"/>
  <c r="AW57" i="6" s="1"/>
  <c r="AI50" i="6"/>
  <c r="AI57" i="6" s="1"/>
  <c r="AJ50" i="6"/>
  <c r="AJ57" i="6" s="1"/>
  <c r="AR50" i="6"/>
  <c r="AR57" i="6" s="1"/>
  <c r="AS50" i="6"/>
  <c r="AS57" i="6" s="1"/>
  <c r="AM50" i="6"/>
  <c r="AM57" i="6" s="1"/>
  <c r="AV50" i="6"/>
  <c r="AV57" i="6" s="1"/>
  <c r="M58" i="5"/>
  <c r="H47" i="4" s="1"/>
  <c r="X57" i="6"/>
  <c r="AK50" i="6"/>
  <c r="AK57" i="6" s="1"/>
  <c r="I47" i="4" l="1"/>
  <c r="AL19" i="6"/>
  <c r="AM19" i="6" s="1"/>
  <c r="AN19" i="6" s="1"/>
  <c r="AO19" i="6" s="1"/>
  <c r="AP19" i="6" s="1"/>
  <c r="AQ19" i="6" s="1"/>
  <c r="AR19" i="6" s="1"/>
  <c r="AS19" i="6" s="1"/>
  <c r="AT19" i="6" s="1"/>
  <c r="AU19" i="6" s="1"/>
  <c r="AV19" i="6" s="1"/>
  <c r="AW19" i="6" s="1"/>
  <c r="AL18" i="6"/>
  <c r="AM18" i="6" s="1"/>
  <c r="AN18" i="6" s="1"/>
  <c r="AO18" i="6" s="1"/>
  <c r="AP18" i="6" s="1"/>
  <c r="AQ18" i="6" s="1"/>
  <c r="AR18" i="6" s="1"/>
  <c r="AS18" i="6" s="1"/>
  <c r="AT18" i="6" s="1"/>
  <c r="AU18" i="6" s="1"/>
  <c r="AV18" i="6" s="1"/>
  <c r="AW18" i="6" s="1"/>
  <c r="AL38" i="6"/>
  <c r="AM38" i="6" s="1"/>
  <c r="AN38" i="6" s="1"/>
  <c r="AO38" i="6" s="1"/>
  <c r="AP38" i="6" s="1"/>
  <c r="AQ38" i="6" s="1"/>
  <c r="AR38" i="6" s="1"/>
  <c r="AS38" i="6" s="1"/>
  <c r="AT38" i="6" s="1"/>
  <c r="AU38" i="6" s="1"/>
  <c r="AV38" i="6" s="1"/>
  <c r="AW38" i="6" s="1"/>
  <c r="AL37" i="6"/>
  <c r="AM37" i="6" s="1"/>
  <c r="AN37" i="6" s="1"/>
  <c r="AO37" i="6" s="1"/>
  <c r="AP37" i="6" s="1"/>
  <c r="AQ37" i="6" s="1"/>
  <c r="AR37" i="6" s="1"/>
  <c r="AS37" i="6" s="1"/>
  <c r="AT37" i="6" s="1"/>
  <c r="AU37" i="6" s="1"/>
  <c r="AV37" i="6" s="1"/>
  <c r="AW37" i="6" s="1"/>
  <c r="AL35" i="6"/>
  <c r="AM35" i="6" s="1"/>
  <c r="AN35" i="6" s="1"/>
  <c r="AO35" i="6" s="1"/>
  <c r="AP35" i="6" s="1"/>
  <c r="AQ35" i="6" s="1"/>
  <c r="AR35" i="6" s="1"/>
  <c r="AS35" i="6" s="1"/>
  <c r="AT35" i="6" s="1"/>
  <c r="AU35" i="6" s="1"/>
  <c r="AV35" i="6" s="1"/>
  <c r="AW35" i="6" s="1"/>
  <c r="AL36" i="6"/>
  <c r="AM36" i="6" s="1"/>
  <c r="AN36" i="6" s="1"/>
  <c r="AO36" i="6" s="1"/>
  <c r="AP36" i="6" s="1"/>
  <c r="AQ36" i="6" s="1"/>
  <c r="AR36" i="6" s="1"/>
  <c r="AS36" i="6" s="1"/>
  <c r="AT36" i="6" s="1"/>
  <c r="AU36" i="6" s="1"/>
  <c r="AV36" i="6" s="1"/>
  <c r="AW36" i="6" s="1"/>
  <c r="N80" i="6" l="1"/>
  <c r="U77" i="6" s="1"/>
  <c r="V71" i="6"/>
  <c r="F32" i="5" l="1"/>
  <c r="F35" i="5" l="1"/>
  <c r="F36" i="5" s="1"/>
  <c r="P51" i="2"/>
  <c r="P50" i="2"/>
  <c r="P49" i="2"/>
  <c r="P48" i="2"/>
  <c r="V73" i="6"/>
  <c r="W73" i="6"/>
  <c r="N69" i="5"/>
  <c r="X73" i="6"/>
  <c r="O69" i="5"/>
  <c r="M69" i="5"/>
  <c r="F37" i="5" l="1"/>
  <c r="Y58" i="2"/>
  <c r="X58" i="2"/>
  <c r="W58" i="2"/>
  <c r="V58" i="2"/>
  <c r="U58" i="2"/>
  <c r="X76" i="6" l="1"/>
  <c r="V76" i="6"/>
  <c r="W76" i="6"/>
  <c r="R79" i="6"/>
  <c r="F38" i="5"/>
  <c r="F39" i="5" s="1"/>
  <c r="U76" i="6"/>
  <c r="U79" i="6" s="1"/>
  <c r="U80" i="6" s="1"/>
  <c r="T76" i="6"/>
  <c r="T79" i="6" s="1"/>
  <c r="T80" i="6" s="1"/>
  <c r="S76" i="6"/>
  <c r="S79" i="6" s="1"/>
  <c r="S80" i="6" s="1"/>
  <c r="F40" i="5" l="1"/>
  <c r="F41" i="5" l="1"/>
  <c r="F44" i="5" s="1"/>
  <c r="Y127" i="7" l="1"/>
  <c r="F46" i="5"/>
  <c r="H46" i="5" l="1"/>
  <c r="E46" i="5"/>
  <c r="G46" i="5"/>
  <c r="Z29" i="7"/>
  <c r="AF29" i="7" s="1"/>
  <c r="Z34" i="7"/>
  <c r="AC34" i="7" s="1"/>
  <c r="Z28" i="7"/>
  <c r="AF28" i="7" s="1"/>
  <c r="M57" i="5"/>
  <c r="F118" i="5"/>
  <c r="I46" i="5" l="1"/>
  <c r="I118" i="5"/>
  <c r="I116" i="5"/>
  <c r="H118" i="5"/>
  <c r="G118" i="5"/>
  <c r="H46" i="4"/>
  <c r="I46" i="4" s="1"/>
  <c r="O57" i="5"/>
  <c r="N57" i="5"/>
  <c r="AC28" i="7"/>
  <c r="Z127" i="7"/>
  <c r="AA127" i="7" s="1"/>
  <c r="AC29" i="7"/>
  <c r="I108" i="5"/>
  <c r="I100" i="5"/>
  <c r="I92" i="5"/>
  <c r="I86" i="5"/>
  <c r="I78" i="5"/>
  <c r="I70" i="5"/>
  <c r="I62" i="5"/>
  <c r="I54" i="5"/>
  <c r="I44" i="5"/>
  <c r="I38" i="5"/>
  <c r="I30" i="5"/>
  <c r="I21" i="5"/>
  <c r="I104" i="5"/>
  <c r="I66" i="5"/>
  <c r="I19" i="5"/>
  <c r="I75" i="5"/>
  <c r="I87" i="5"/>
  <c r="I31" i="5"/>
  <c r="I82" i="5"/>
  <c r="I36" i="5"/>
  <c r="I81" i="5"/>
  <c r="I32" i="5"/>
  <c r="I101" i="5"/>
  <c r="I71" i="5"/>
  <c r="I39" i="5"/>
  <c r="I114" i="5"/>
  <c r="I105" i="5"/>
  <c r="I99" i="5"/>
  <c r="I91" i="5"/>
  <c r="I83" i="5"/>
  <c r="I77" i="5"/>
  <c r="I69" i="5"/>
  <c r="I61" i="5"/>
  <c r="I53" i="5"/>
  <c r="I43" i="5"/>
  <c r="I37" i="5"/>
  <c r="I29" i="5"/>
  <c r="I20" i="5"/>
  <c r="I90" i="5"/>
  <c r="I52" i="5"/>
  <c r="I28" i="5"/>
  <c r="I111" i="5"/>
  <c r="I103" i="5"/>
  <c r="I97" i="5"/>
  <c r="I89" i="5"/>
  <c r="I65" i="5"/>
  <c r="I57" i="5"/>
  <c r="I51" i="5"/>
  <c r="I35" i="5"/>
  <c r="I27" i="5"/>
  <c r="I18" i="5"/>
  <c r="I112" i="5"/>
  <c r="I98" i="5"/>
  <c r="I76" i="5"/>
  <c r="I60" i="5"/>
  <c r="I42" i="5"/>
  <c r="I41" i="5"/>
  <c r="I109" i="5"/>
  <c r="I63" i="5"/>
  <c r="I110" i="5"/>
  <c r="I102" i="5"/>
  <c r="I96" i="5"/>
  <c r="I88" i="5"/>
  <c r="I80" i="5"/>
  <c r="I74" i="5"/>
  <c r="I64" i="5"/>
  <c r="I56" i="5"/>
  <c r="I50" i="5"/>
  <c r="I40" i="5"/>
  <c r="I26" i="5"/>
  <c r="I93" i="5"/>
  <c r="I79" i="5"/>
  <c r="I55" i="5"/>
  <c r="I25" i="5"/>
  <c r="AB29" i="7"/>
  <c r="AD27" i="7"/>
  <c r="AE27" i="7"/>
  <c r="AH27" i="7" s="1"/>
  <c r="AB28" i="7"/>
  <c r="AB34" i="7"/>
  <c r="AA29" i="7"/>
  <c r="AA34" i="7"/>
  <c r="AA28" i="7"/>
  <c r="AB27" i="7"/>
  <c r="AA27" i="7"/>
  <c r="H48" i="4"/>
  <c r="M59" i="5"/>
  <c r="P57" i="5" s="1"/>
  <c r="AI24" i="6"/>
  <c r="AJ24" i="6" s="1"/>
  <c r="AK24" i="6" s="1"/>
  <c r="AL24" i="6" s="1"/>
  <c r="AM24" i="6" s="1"/>
  <c r="AN24" i="6" s="1"/>
  <c r="AO24" i="6" s="1"/>
  <c r="AP24" i="6" s="1"/>
  <c r="AQ24" i="6" s="1"/>
  <c r="AR24" i="6" s="1"/>
  <c r="AS24" i="6" s="1"/>
  <c r="AT24" i="6" s="1"/>
  <c r="AU24" i="6" s="1"/>
  <c r="AV24" i="6" s="1"/>
  <c r="AW24" i="6" s="1"/>
  <c r="AI28" i="6"/>
  <c r="AJ28" i="6" s="1"/>
  <c r="AK28" i="6" s="1"/>
  <c r="AL28" i="6" s="1"/>
  <c r="AM28" i="6" s="1"/>
  <c r="AN28" i="6" s="1"/>
  <c r="AO28" i="6" s="1"/>
  <c r="AP28" i="6" s="1"/>
  <c r="AQ28" i="6" s="1"/>
  <c r="AR28" i="6" s="1"/>
  <c r="AS28" i="6" s="1"/>
  <c r="AT28" i="6" s="1"/>
  <c r="AU28" i="6" s="1"/>
  <c r="AV28" i="6" s="1"/>
  <c r="AW28" i="6" s="1"/>
  <c r="AI25" i="6"/>
  <c r="AJ25" i="6" s="1"/>
  <c r="AK25" i="6" s="1"/>
  <c r="AL25" i="6" s="1"/>
  <c r="AM25" i="6" s="1"/>
  <c r="AN25" i="6" s="1"/>
  <c r="AO25" i="6" s="1"/>
  <c r="AP25" i="6" s="1"/>
  <c r="AQ25" i="6" s="1"/>
  <c r="AR25" i="6" s="1"/>
  <c r="AS25" i="6" s="1"/>
  <c r="AT25" i="6" s="1"/>
  <c r="AU25" i="6" s="1"/>
  <c r="AV25" i="6" s="1"/>
  <c r="AW25" i="6" s="1"/>
  <c r="AI34" i="6"/>
  <c r="AJ34" i="6" s="1"/>
  <c r="AK34" i="6" s="1"/>
  <c r="AL34" i="6" s="1"/>
  <c r="AM34" i="6" s="1"/>
  <c r="AN34" i="6" s="1"/>
  <c r="AO34" i="6" s="1"/>
  <c r="AP34" i="6" s="1"/>
  <c r="AQ34" i="6" s="1"/>
  <c r="AR34" i="6" s="1"/>
  <c r="AS34" i="6" s="1"/>
  <c r="AT34" i="6" s="1"/>
  <c r="AU34" i="6" s="1"/>
  <c r="AV34" i="6" s="1"/>
  <c r="AW34" i="6" s="1"/>
  <c r="AI33" i="6"/>
  <c r="AJ33" i="6" s="1"/>
  <c r="AK33" i="6" s="1"/>
  <c r="AL33" i="6" s="1"/>
  <c r="AM33" i="6" s="1"/>
  <c r="AN33" i="6" s="1"/>
  <c r="AO33" i="6" s="1"/>
  <c r="AP33" i="6" s="1"/>
  <c r="AQ33" i="6" s="1"/>
  <c r="AR33" i="6" s="1"/>
  <c r="AS33" i="6" s="1"/>
  <c r="AT33" i="6" s="1"/>
  <c r="AU33" i="6" s="1"/>
  <c r="AV33" i="6" s="1"/>
  <c r="AW33" i="6" s="1"/>
  <c r="AI26" i="6"/>
  <c r="AJ26" i="6" s="1"/>
  <c r="AK26" i="6" s="1"/>
  <c r="AL26" i="6" s="1"/>
  <c r="AM26" i="6" s="1"/>
  <c r="AN26" i="6" s="1"/>
  <c r="AO26" i="6" s="1"/>
  <c r="AP26" i="6" s="1"/>
  <c r="AQ26" i="6" s="1"/>
  <c r="AR26" i="6" s="1"/>
  <c r="AS26" i="6" s="1"/>
  <c r="AT26" i="6" s="1"/>
  <c r="AU26" i="6" s="1"/>
  <c r="AV26" i="6" s="1"/>
  <c r="AW26" i="6" s="1"/>
  <c r="AI29" i="6"/>
  <c r="AJ29" i="6" s="1"/>
  <c r="AK29" i="6" s="1"/>
  <c r="AL29" i="6" s="1"/>
  <c r="AM29" i="6" s="1"/>
  <c r="AN29" i="6" s="1"/>
  <c r="AO29" i="6" s="1"/>
  <c r="AP29" i="6" s="1"/>
  <c r="AQ29" i="6" s="1"/>
  <c r="AR29" i="6" s="1"/>
  <c r="AS29" i="6" s="1"/>
  <c r="AT29" i="6" s="1"/>
  <c r="AU29" i="6" s="1"/>
  <c r="AV29" i="6" s="1"/>
  <c r="AW29" i="6" s="1"/>
  <c r="AI31" i="6"/>
  <c r="AJ31" i="6" s="1"/>
  <c r="AK31" i="6" s="1"/>
  <c r="AL31" i="6" s="1"/>
  <c r="AM31" i="6" s="1"/>
  <c r="AN31" i="6" s="1"/>
  <c r="AO31" i="6" s="1"/>
  <c r="AP31" i="6" s="1"/>
  <c r="AQ31" i="6" s="1"/>
  <c r="AR31" i="6" s="1"/>
  <c r="AS31" i="6" s="1"/>
  <c r="AT31" i="6" s="1"/>
  <c r="AU31" i="6" s="1"/>
  <c r="AV31" i="6" s="1"/>
  <c r="AW31" i="6" s="1"/>
  <c r="AI27" i="6"/>
  <c r="AJ27" i="6" s="1"/>
  <c r="AK27" i="6" s="1"/>
  <c r="AL27" i="6" s="1"/>
  <c r="AM27" i="6" s="1"/>
  <c r="AN27" i="6" s="1"/>
  <c r="AO27" i="6" s="1"/>
  <c r="AP27" i="6" s="1"/>
  <c r="AQ27" i="6" s="1"/>
  <c r="AR27" i="6" s="1"/>
  <c r="AS27" i="6" s="1"/>
  <c r="AT27" i="6" s="1"/>
  <c r="AU27" i="6" s="1"/>
  <c r="AV27" i="6" s="1"/>
  <c r="AW27" i="6" s="1"/>
  <c r="AI30" i="6"/>
  <c r="AJ30" i="6" s="1"/>
  <c r="AK30" i="6" s="1"/>
  <c r="AL30" i="6" s="1"/>
  <c r="AM30" i="6" s="1"/>
  <c r="AN30" i="6" s="1"/>
  <c r="AO30" i="6" s="1"/>
  <c r="AP30" i="6" s="1"/>
  <c r="AQ30" i="6" s="1"/>
  <c r="AR30" i="6" s="1"/>
  <c r="AS30" i="6" s="1"/>
  <c r="AT30" i="6" s="1"/>
  <c r="AU30" i="6" s="1"/>
  <c r="AV30" i="6" s="1"/>
  <c r="AW30" i="6" s="1"/>
  <c r="D40" i="4"/>
  <c r="AI27" i="7" l="1"/>
  <c r="AG27" i="7" s="1"/>
  <c r="AB127" i="7"/>
  <c r="AC127" i="7"/>
  <c r="AD127" i="7" s="1"/>
  <c r="P58" i="5"/>
  <c r="P44" i="5"/>
  <c r="P38" i="5"/>
  <c r="P30" i="5"/>
  <c r="P24" i="5"/>
  <c r="P18" i="5"/>
  <c r="P51" i="5"/>
  <c r="P39" i="5"/>
  <c r="P31" i="5"/>
  <c r="P19" i="5"/>
  <c r="O59" i="5"/>
  <c r="P59" i="5"/>
  <c r="P49" i="5"/>
  <c r="P43" i="5"/>
  <c r="P29" i="5"/>
  <c r="P23" i="5"/>
  <c r="P25" i="5"/>
  <c r="P45" i="5"/>
  <c r="P56" i="5"/>
  <c r="P48" i="5"/>
  <c r="P42" i="5"/>
  <c r="P34" i="5"/>
  <c r="P28" i="5"/>
  <c r="P22" i="5"/>
  <c r="P47" i="5"/>
  <c r="P41" i="5"/>
  <c r="P33" i="5"/>
  <c r="P27" i="5"/>
  <c r="P21" i="5"/>
  <c r="P52" i="5"/>
  <c r="P46" i="5"/>
  <c r="P40" i="5"/>
  <c r="P26" i="5"/>
  <c r="P20" i="5"/>
  <c r="N59" i="5"/>
  <c r="J48" i="4"/>
  <c r="I48" i="4"/>
  <c r="J45" i="4"/>
  <c r="J47" i="4"/>
  <c r="J46" i="4"/>
  <c r="AE28" i="7"/>
  <c r="AH28" i="7" s="1"/>
  <c r="AD28" i="7"/>
  <c r="AE34" i="7"/>
  <c r="AH34" i="7" s="1"/>
  <c r="AD34" i="7"/>
  <c r="AE29" i="7"/>
  <c r="AH29" i="7" s="1"/>
  <c r="AD29" i="7"/>
  <c r="M32" i="5"/>
  <c r="M50" i="5"/>
  <c r="P58" i="6"/>
  <c r="H31" i="4" l="1"/>
  <c r="I31" i="4" s="1"/>
  <c r="P32" i="5"/>
  <c r="O32" i="5"/>
  <c r="N32" i="5"/>
  <c r="AE127" i="7"/>
  <c r="H41" i="4"/>
  <c r="I41" i="4" s="1"/>
  <c r="P50" i="5"/>
  <c r="O50" i="5"/>
  <c r="N50" i="5"/>
  <c r="S48" i="6"/>
  <c r="S42" i="6"/>
  <c r="S28" i="6"/>
  <c r="S22" i="6"/>
  <c r="S29" i="6"/>
  <c r="S17" i="6"/>
  <c r="S55" i="6"/>
  <c r="S47" i="6"/>
  <c r="S41" i="6"/>
  <c r="S33" i="6"/>
  <c r="S27" i="6"/>
  <c r="S21" i="6"/>
  <c r="S37" i="6"/>
  <c r="S57" i="6"/>
  <c r="S23" i="6"/>
  <c r="S46" i="6"/>
  <c r="S40" i="6"/>
  <c r="S32" i="6"/>
  <c r="S26" i="6"/>
  <c r="S20" i="6"/>
  <c r="S51" i="6"/>
  <c r="S45" i="6"/>
  <c r="S39" i="6"/>
  <c r="S25" i="6"/>
  <c r="S19" i="6"/>
  <c r="S58" i="6"/>
  <c r="S50" i="6"/>
  <c r="S44" i="6"/>
  <c r="S38" i="6"/>
  <c r="S30" i="6"/>
  <c r="S24" i="6"/>
  <c r="S18" i="6"/>
  <c r="R58" i="6"/>
  <c r="S43" i="6"/>
  <c r="S56" i="6"/>
  <c r="Q58" i="6"/>
  <c r="AI28" i="7"/>
  <c r="AG28" i="7" s="1"/>
  <c r="AI29" i="7"/>
  <c r="AG29" i="7" s="1"/>
  <c r="AI34" i="7"/>
  <c r="AG34" i="7" s="1"/>
  <c r="N73" i="5"/>
  <c r="N76" i="5" s="1"/>
  <c r="N79" i="5" s="1"/>
  <c r="N80" i="5" s="1"/>
  <c r="O73" i="5"/>
  <c r="O76" i="5" s="1"/>
  <c r="O79" i="5" s="1"/>
  <c r="O80" i="5" s="1"/>
  <c r="M51" i="4"/>
  <c r="N51" i="4" s="1"/>
  <c r="O51" i="4" s="1"/>
  <c r="P51" i="4" s="1"/>
  <c r="Q51" i="4" s="1"/>
  <c r="R51" i="4" s="1"/>
  <c r="S51" i="4" s="1"/>
  <c r="T51" i="4" s="1"/>
  <c r="U51" i="4" s="1"/>
  <c r="V51" i="4" s="1"/>
  <c r="W51" i="4" s="1"/>
  <c r="X51" i="4" s="1"/>
  <c r="Y51" i="4" s="1"/>
  <c r="Z51" i="4" s="1"/>
  <c r="AA51" i="4" s="1"/>
  <c r="M35" i="5"/>
  <c r="M53" i="5"/>
  <c r="P49" i="6"/>
  <c r="P31" i="6"/>
  <c r="H32" i="4" l="1"/>
  <c r="J28" i="4" s="1"/>
  <c r="H42" i="4"/>
  <c r="J42" i="4" s="1"/>
  <c r="S49" i="6"/>
  <c r="R49" i="6"/>
  <c r="Q49" i="6"/>
  <c r="O53" i="5"/>
  <c r="P53" i="5"/>
  <c r="N53" i="5"/>
  <c r="S31" i="6"/>
  <c r="R31" i="6"/>
  <c r="Q31" i="6"/>
  <c r="P35" i="5"/>
  <c r="O35" i="5"/>
  <c r="N35" i="5"/>
  <c r="J32" i="4"/>
  <c r="J29" i="4"/>
  <c r="J30" i="4"/>
  <c r="J24" i="4"/>
  <c r="J25" i="4"/>
  <c r="J26" i="4"/>
  <c r="J27" i="4"/>
  <c r="I32" i="4"/>
  <c r="J31" i="4"/>
  <c r="J35" i="4"/>
  <c r="J38" i="4"/>
  <c r="J40" i="4"/>
  <c r="J39" i="4"/>
  <c r="J41" i="4"/>
  <c r="M73" i="5"/>
  <c r="M74" i="5" s="1"/>
  <c r="M76" i="5" s="1"/>
  <c r="M79" i="5" s="1"/>
  <c r="M80" i="5" s="1"/>
  <c r="X17" i="6"/>
  <c r="H43" i="4"/>
  <c r="H33" i="4"/>
  <c r="M36" i="5"/>
  <c r="M54" i="5"/>
  <c r="P34" i="6"/>
  <c r="P52" i="6"/>
  <c r="I42" i="4" l="1"/>
  <c r="J37" i="4"/>
  <c r="J36" i="4"/>
  <c r="R52" i="6"/>
  <c r="S52" i="6"/>
  <c r="Q52" i="6"/>
  <c r="S34" i="6"/>
  <c r="R34" i="6"/>
  <c r="Q34" i="6"/>
  <c r="Z17" i="6"/>
  <c r="Y17" i="6"/>
  <c r="AI17" i="6"/>
  <c r="X20" i="6"/>
  <c r="P35" i="6"/>
  <c r="P53" i="6"/>
  <c r="Z41" i="2"/>
  <c r="Z42" i="2"/>
  <c r="Z43" i="2"/>
  <c r="Z44" i="2"/>
  <c r="Z45" i="2"/>
  <c r="Z46" i="2"/>
  <c r="Z47" i="2"/>
  <c r="Z48" i="2"/>
  <c r="Z49" i="2"/>
  <c r="Z50" i="2"/>
  <c r="Z51" i="2"/>
  <c r="Z52" i="2"/>
  <c r="Z53" i="2"/>
  <c r="Z54" i="2"/>
  <c r="Z55" i="2"/>
  <c r="Z56" i="2"/>
  <c r="Z57" i="2"/>
  <c r="AA28" i="6" l="1"/>
  <c r="AA50" i="6"/>
  <c r="AA46" i="6"/>
  <c r="AA35" i="6"/>
  <c r="AA31" i="6"/>
  <c r="AA27" i="6"/>
  <c r="AA37" i="6"/>
  <c r="AA25" i="6"/>
  <c r="AA24" i="6"/>
  <c r="AA49" i="6"/>
  <c r="AA38" i="6"/>
  <c r="AA34" i="6"/>
  <c r="AA30" i="6"/>
  <c r="AA26" i="6"/>
  <c r="AA20" i="6"/>
  <c r="Y20" i="6"/>
  <c r="AA33" i="6"/>
  <c r="AA29" i="6"/>
  <c r="AA19" i="6"/>
  <c r="AA47" i="6"/>
  <c r="AA36" i="6"/>
  <c r="AA18" i="6"/>
  <c r="Z20" i="6"/>
  <c r="AA48" i="6"/>
  <c r="AA17" i="6"/>
  <c r="X23" i="6"/>
  <c r="AJ17" i="6"/>
  <c r="AI20" i="6"/>
  <c r="AI23" i="6" s="1"/>
  <c r="AI39" i="6" s="1"/>
  <c r="W78" i="6" l="1"/>
  <c r="W79" i="6" s="1"/>
  <c r="W80" i="6" s="1"/>
  <c r="X78" i="6"/>
  <c r="X79" i="6" s="1"/>
  <c r="X80" i="6" s="1"/>
  <c r="AA23" i="6"/>
  <c r="Z23" i="6"/>
  <c r="Y23" i="6"/>
  <c r="V78" i="6"/>
  <c r="V79" i="6" s="1"/>
  <c r="AK17" i="6"/>
  <c r="AJ20" i="6"/>
  <c r="AJ23" i="6" s="1"/>
  <c r="X39" i="6"/>
  <c r="AA39" i="6" l="1"/>
  <c r="Z39" i="6"/>
  <c r="Y39" i="6"/>
  <c r="V80" i="6"/>
  <c r="X32" i="6"/>
  <c r="AJ39" i="6"/>
  <c r="AL17" i="6"/>
  <c r="AK20" i="6"/>
  <c r="AK23" i="6" s="1"/>
  <c r="AI32" i="6" l="1"/>
  <c r="AJ32" i="6" s="1"/>
  <c r="AK32" i="6" s="1"/>
  <c r="AL32" i="6" s="1"/>
  <c r="AM32" i="6" s="1"/>
  <c r="AN32" i="6" s="1"/>
  <c r="AO32" i="6" s="1"/>
  <c r="AP32" i="6" s="1"/>
  <c r="AQ32" i="6" s="1"/>
  <c r="AR32" i="6" s="1"/>
  <c r="AS32" i="6" s="1"/>
  <c r="AT32" i="6" s="1"/>
  <c r="AU32" i="6" s="1"/>
  <c r="AV32" i="6" s="1"/>
  <c r="AW32" i="6" s="1"/>
  <c r="Y32" i="6"/>
  <c r="AA32" i="6"/>
  <c r="Z32" i="6"/>
  <c r="X40" i="6"/>
  <c r="AK39" i="6"/>
  <c r="AM17" i="6"/>
  <c r="AL20" i="6"/>
  <c r="AL23" i="6" s="1"/>
  <c r="AA40" i="6" l="1"/>
  <c r="Y40" i="6"/>
  <c r="Z40" i="6"/>
  <c r="X42" i="6"/>
  <c r="AI40" i="6"/>
  <c r="AI42" i="6" s="1"/>
  <c r="AL39" i="6"/>
  <c r="AN17" i="6"/>
  <c r="AM20" i="6"/>
  <c r="AM23" i="6" s="1"/>
  <c r="Z42" i="6" l="1"/>
  <c r="X52" i="6"/>
  <c r="Y42" i="6"/>
  <c r="AA42" i="6"/>
  <c r="AM39" i="6"/>
  <c r="X55" i="6"/>
  <c r="X43" i="6"/>
  <c r="AO17" i="6"/>
  <c r="AN20" i="6"/>
  <c r="AN23" i="6" s="1"/>
  <c r="AI55" i="6"/>
  <c r="AI43" i="6"/>
  <c r="AI52" i="6"/>
  <c r="AI56" i="6" s="1"/>
  <c r="AJ40" i="6"/>
  <c r="AJ42" i="6" s="1"/>
  <c r="Z52" i="6" l="1"/>
  <c r="AA52" i="6"/>
  <c r="Y52" i="6"/>
  <c r="AN39" i="6"/>
  <c r="AP17" i="6"/>
  <c r="AO20" i="6"/>
  <c r="AO23" i="6" s="1"/>
  <c r="X56" i="6"/>
  <c r="AJ43" i="6"/>
  <c r="AJ52" i="6"/>
  <c r="AJ56" i="6" s="1"/>
  <c r="AJ55" i="6"/>
  <c r="AK40" i="6"/>
  <c r="AK42" i="6" s="1"/>
  <c r="AL40" i="6" l="1"/>
  <c r="AL42" i="6" s="1"/>
  <c r="AO39" i="6"/>
  <c r="AQ17" i="6"/>
  <c r="AP20" i="6"/>
  <c r="AP23" i="6" s="1"/>
  <c r="AK55" i="6"/>
  <c r="AK52" i="6"/>
  <c r="AK56" i="6" s="1"/>
  <c r="AK43" i="6"/>
  <c r="AP39" i="6" l="1"/>
  <c r="AR17" i="6"/>
  <c r="AQ20" i="6"/>
  <c r="AQ23" i="6" s="1"/>
  <c r="AL55" i="6"/>
  <c r="AL43" i="6"/>
  <c r="AL52" i="6"/>
  <c r="AL56" i="6" s="1"/>
  <c r="AM40" i="6"/>
  <c r="AM42" i="6" s="1"/>
  <c r="AM43" i="6" l="1"/>
  <c r="AM52" i="6"/>
  <c r="AM56" i="6" s="1"/>
  <c r="AM55" i="6"/>
  <c r="AN40" i="6"/>
  <c r="AN42" i="6" s="1"/>
  <c r="AQ39" i="6"/>
  <c r="AS17" i="6"/>
  <c r="AR20" i="6"/>
  <c r="AR23" i="6" s="1"/>
  <c r="AR39" i="6" l="1"/>
  <c r="AO40" i="6"/>
  <c r="AO42" i="6" s="1"/>
  <c r="AT17" i="6"/>
  <c r="AS20" i="6"/>
  <c r="AS23" i="6" s="1"/>
  <c r="AN55" i="6"/>
  <c r="AN43" i="6"/>
  <c r="AN52" i="6"/>
  <c r="AN56" i="6" s="1"/>
  <c r="AO55" i="6" l="1"/>
  <c r="AO43" i="6"/>
  <c r="AO52" i="6"/>
  <c r="AO56" i="6" s="1"/>
  <c r="AS39" i="6"/>
  <c r="AU17" i="6"/>
  <c r="AT20" i="6"/>
  <c r="AT23" i="6" s="1"/>
  <c r="AP40" i="6"/>
  <c r="AP42" i="6" s="1"/>
  <c r="AQ40" i="6" l="1"/>
  <c r="AQ42" i="6" s="1"/>
  <c r="AP52" i="6"/>
  <c r="AP56" i="6" s="1"/>
  <c r="AP55" i="6"/>
  <c r="AP43" i="6"/>
  <c r="AT39" i="6"/>
  <c r="AV17" i="6"/>
  <c r="AU20" i="6"/>
  <c r="AU23" i="6" s="1"/>
  <c r="AU39" i="6" l="1"/>
  <c r="AW17" i="6"/>
  <c r="AW20" i="6" s="1"/>
  <c r="AW23" i="6" s="1"/>
  <c r="AV20" i="6"/>
  <c r="AV23" i="6" s="1"/>
  <c r="AQ55" i="6"/>
  <c r="AQ43" i="6"/>
  <c r="AQ52" i="6"/>
  <c r="AQ56" i="6" s="1"/>
  <c r="AR40" i="6"/>
  <c r="AR42" i="6" s="1"/>
  <c r="AR43" i="6" l="1"/>
  <c r="AR52" i="6"/>
  <c r="AR56" i="6" s="1"/>
  <c r="AR55" i="6"/>
  <c r="AS40" i="6"/>
  <c r="AS42" i="6" s="1"/>
  <c r="AV39" i="6"/>
  <c r="AW39" i="6"/>
  <c r="AS43" i="6" l="1"/>
  <c r="AS55" i="6"/>
  <c r="AS52" i="6"/>
  <c r="AS56" i="6" s="1"/>
  <c r="AT40" i="6"/>
  <c r="AT42" i="6" s="1"/>
  <c r="AU40" i="6" l="1"/>
  <c r="AU42" i="6" s="1"/>
  <c r="AT52" i="6"/>
  <c r="AT56" i="6" s="1"/>
  <c r="AT43" i="6"/>
  <c r="AT55" i="6"/>
  <c r="AU52" i="6" l="1"/>
  <c r="AU56" i="6" s="1"/>
  <c r="AU43" i="6"/>
  <c r="AU55" i="6"/>
  <c r="AW40" i="6"/>
  <c r="AW42" i="6" s="1"/>
  <c r="AV40" i="6"/>
  <c r="AV42" i="6" s="1"/>
  <c r="AV55" i="6" l="1"/>
  <c r="AF55" i="6" s="1"/>
  <c r="AV52" i="6"/>
  <c r="AV56" i="6" s="1"/>
  <c r="AF56" i="6" s="1"/>
  <c r="AV43" i="6"/>
  <c r="AW55" i="6"/>
  <c r="AW52" i="6"/>
  <c r="AW56" i="6" s="1"/>
  <c r="AW43" i="6"/>
  <c r="AF58" i="6" l="1"/>
  <c r="X127" i="7"/>
  <c r="O1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Owen.Laverty</author>
    <author>Michele Oberholtzer</author>
  </authors>
  <commentList>
    <comment ref="D12" authorId="0" shapeId="0" xr:uid="{B9F06AF5-54F8-42DC-9153-45B54032F29A}">
      <text>
        <r>
          <rPr>
            <b/>
            <sz val="9"/>
            <color indexed="81"/>
            <rFont val="Tahoma"/>
            <family val="2"/>
          </rPr>
          <t xml:space="preserve">Note:
</t>
        </r>
        <r>
          <rPr>
            <sz val="9"/>
            <color indexed="81"/>
            <rFont val="Tahoma"/>
            <family val="2"/>
          </rPr>
          <t>Select "Long-Term Vacant Rehab" if vacant for at least 5 years; Select "Short-Term Vacant Rehab" if vacant for less than 5 years</t>
        </r>
      </text>
    </comment>
    <comment ref="D14" authorId="1" shapeId="0" xr:uid="{078F5D47-7CE0-4B86-ABD9-A8B75735B7E2}">
      <text>
        <r>
          <rPr>
            <sz val="11"/>
            <color theme="1"/>
            <rFont val="Calibri"/>
            <family val="2"/>
            <scheme val="minor"/>
          </rPr>
          <t>Government-Aided Housing Project means a Housing Project owned by a "non profit housing corporation," "consumer housing cooperative," "limited dividend housing corporation," "mobile home part corporation," or "mobile home part association" (each as defined by the Act) that is financed with a federally-aided or Authority-aided mortgage or advance or grant from the Authority.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tc={7090AA4C-D5EF-4F02-9FE7-07B69351293F}</author>
    <author>Michele Oberholtzer</author>
  </authors>
  <commentList>
    <comment ref="AD13" authorId="0" shapeId="0" xr:uid="{7090AA4C-D5EF-4F02-9FE7-07B69351293F}">
      <text>
        <t>[Threaded comment]
Your version of Excel allows you to read this threaded comment; however, any edits to it will get removed if the file is opened in a newer version of Excel. Learn more: https://go.microsoft.com/fwlink/?linkid=870924
Comment:
    Enter as a negative value</t>
      </text>
    </comment>
    <comment ref="C22" authorId="1" shapeId="0" xr:uid="{D97AADB2-8882-4FE9-BBC0-16493B64B8A0}">
      <text>
        <r>
          <rPr>
            <sz val="11"/>
            <color theme="1"/>
            <rFont val="Calibri"/>
            <family val="2"/>
            <scheme val="minor"/>
          </rPr>
          <t>Input a descriptor for the unit such as "1a," if entering unit-by-unit, or "Small one-bedroom" if entering by unit type.</t>
        </r>
      </text>
    </comment>
    <comment ref="J22" authorId="1" shapeId="0" xr:uid="{356462C2-E1B9-46EB-AF77-EE75F957A3AA}">
      <text>
        <r>
          <rPr>
            <sz val="11"/>
            <color theme="1"/>
            <rFont val="Calibri"/>
            <family val="2"/>
            <scheme val="minor"/>
          </rPr>
          <t>Enter the unit restriction for each individual unit, whether none ("market"), PSH, or income-restricted. Units that will have a Project-Based Voucher should be listed "PBV Income-Restricted"</t>
        </r>
      </text>
    </comment>
    <comment ref="K22" authorId="1" shapeId="0" xr:uid="{C820BB99-4D35-424D-9652-359EA33EA460}">
      <text>
        <r>
          <rPr>
            <sz val="11"/>
            <color theme="1"/>
            <rFont val="Calibri"/>
            <family val="2"/>
            <scheme val="minor"/>
          </rPr>
          <t>For each income-restricted unit, enter the max AMI that the unit will be restricted to. PSH units, indicate "PSH" and unrestricted units, indicate "None-Market"</t>
        </r>
      </text>
    </comment>
    <comment ref="L22" authorId="1" shapeId="0" xr:uid="{66549A29-DDA7-4234-996F-33CA07A3A9F6}">
      <text>
        <r>
          <rPr>
            <sz val="11"/>
            <color theme="1"/>
            <rFont val="Calibri"/>
            <family val="2"/>
            <scheme val="minor"/>
          </rPr>
          <t>"MSHDA AMI" is default for value restricted units</t>
        </r>
      </text>
    </comment>
    <comment ref="M22" authorId="1" shapeId="0" xr:uid="{A3C16534-2421-4F4F-B142-04461D345BBA}">
      <text>
        <r>
          <rPr>
            <sz val="11"/>
            <color theme="1"/>
            <rFont val="Calibri"/>
            <family val="2"/>
            <scheme val="minor"/>
          </rPr>
          <t>Enter most recent known household income of current tenant. Leave blank if unknown.</t>
        </r>
      </text>
    </comment>
    <comment ref="N22" authorId="1" shapeId="0" xr:uid="{A9FDDA0A-2D3A-4DCD-84AC-17564927D47E}">
      <text>
        <r>
          <rPr>
            <sz val="11"/>
            <color theme="1"/>
            <rFont val="Calibri"/>
            <family val="2"/>
            <scheme val="minor"/>
          </rPr>
          <t>Enter number of people in the unit at the time the "current household income" was determined.</t>
        </r>
      </text>
    </comment>
    <comment ref="P22" authorId="1" shapeId="0" xr:uid="{F8A96607-90F6-4273-8736-D08AB4B5DF18}">
      <text>
        <r>
          <rPr>
            <sz val="11"/>
            <color theme="1"/>
            <rFont val="Calibri"/>
            <family val="2"/>
            <scheme val="minor"/>
          </rPr>
          <t xml:space="preserve">Enter "Y" if the current rent is </t>
        </r>
      </text>
    </comment>
    <comment ref="AC22" authorId="1" shapeId="0" xr:uid="{833CC29D-40FD-402A-99DD-78EBFC3B2EFA}">
      <text>
        <r>
          <rPr>
            <sz val="11"/>
            <color theme="1"/>
            <rFont val="Calibri"/>
            <family val="2"/>
            <scheme val="minor"/>
          </rPr>
          <t>The lesser of the Max Allowable Rent based on unit restriction, the proposed initial lease rent, and allowable rent based on tenant retention if unit is occupied.</t>
        </r>
      </text>
    </comment>
    <comment ref="AF22" authorId="1" shapeId="0" xr:uid="{B1EB8D86-941E-4AB8-BC91-D7106FB715AF}">
      <text>
        <r>
          <rPr>
            <sz val="11"/>
            <color theme="1"/>
            <rFont val="Calibri"/>
            <family val="2"/>
            <scheme val="minor"/>
          </rPr>
          <t>Will be interpreted by HRD Tenant Retention Standards team. If "N," changes may be requested.</t>
        </r>
      </text>
    </comment>
    <comment ref="AG22" authorId="1" shapeId="0" xr:uid="{AF787AB6-DD32-4609-8521-507DC2C027CD}">
      <text>
        <r>
          <rPr>
            <sz val="11"/>
            <color theme="1"/>
            <rFont val="Calibri"/>
            <family val="2"/>
            <scheme val="minor"/>
          </rPr>
          <t>Will be interpreted by HRD Tenant Retention Standards team. If "N," changes may be requested.</t>
        </r>
      </text>
    </comment>
    <comment ref="AH22" authorId="1" shapeId="0" xr:uid="{FE6A3A56-75FE-40E1-8030-9BA5BF1A429A}">
      <text>
        <r>
          <rPr>
            <sz val="11"/>
            <color theme="1"/>
            <rFont val="Calibri"/>
            <family val="2"/>
            <scheme val="minor"/>
          </rPr>
          <t>Will be interpreted by HRD Tenant Retention Standards team. If "N," changes may be requested.</t>
        </r>
      </text>
    </comment>
    <comment ref="AI22" authorId="1" shapeId="0" xr:uid="{A3313480-033A-4054-9431-0F7DC0BB5886}">
      <text>
        <r>
          <rPr>
            <sz val="11"/>
            <color theme="1"/>
            <rFont val="Calibri"/>
            <family val="2"/>
            <scheme val="minor"/>
          </rPr>
          <t>Will be interpreted by HRD Tenant Retention Standards team. If "N," changes may be requested.</t>
        </r>
      </text>
    </comment>
    <comment ref="AJ22" authorId="1" shapeId="0" xr:uid="{3B404339-D8B4-4767-A12B-B80B79D5C4D6}">
      <text>
        <r>
          <rPr>
            <sz val="11"/>
            <color theme="1"/>
            <rFont val="Calibri"/>
            <family val="2"/>
            <scheme val="minor"/>
          </rPr>
          <t>Will be interpreted by HRD Tenant Retention Standards team. If "N," changes may be requested.</t>
        </r>
      </text>
    </comment>
    <comment ref="AK22" authorId="1" shapeId="0" xr:uid="{502437C2-4D6F-499A-B24B-7D24C3183C53}">
      <text>
        <r>
          <rPr>
            <sz val="11"/>
            <color theme="1"/>
            <rFont val="Calibri"/>
            <family val="2"/>
            <scheme val="minor"/>
          </rPr>
          <t>Will be interpreted by HRD Tenant Retention Standards team. If "N," changes may be requested.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Michele Oberholtzer</author>
  </authors>
  <commentList>
    <comment ref="K75" authorId="0" shapeId="0" xr:uid="{3085A5C4-3F2A-40C2-8B79-A6353AC53E59}">
      <text>
        <r>
          <rPr>
            <sz val="11"/>
            <color theme="1"/>
            <rFont val="Calibri"/>
            <family val="2"/>
            <scheme val="minor"/>
          </rPr>
          <t>Estimate of annual owner-paid utilities per unit.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Jake.Austermann</author>
  </authors>
  <commentList>
    <comment ref="M80" authorId="0" shapeId="0" xr:uid="{9E6B2EB1-2336-4429-B525-E258402F62A7}">
      <text>
        <r>
          <rPr>
            <b/>
            <sz val="9"/>
            <color indexed="81"/>
            <rFont val="Tahoma"/>
            <family val="2"/>
          </rPr>
          <t>HRD:</t>
        </r>
        <r>
          <rPr>
            <sz val="9"/>
            <color indexed="81"/>
            <rFont val="Tahoma"/>
            <family val="2"/>
          </rPr>
          <t xml:space="preserve">
Developer Should Diligence Recently Assessed Comparable Projects &amp; Input Assumption for Tax Analysis - This Assumption Cannot Be Provided By HRD Nor Relied Upon By Any Third-Party</t>
        </r>
      </text>
    </comment>
  </commentList>
</comments>
</file>

<file path=xl/sharedStrings.xml><?xml version="1.0" encoding="utf-8"?>
<sst xmlns="http://schemas.openxmlformats.org/spreadsheetml/2006/main" count="2027" uniqueCount="479">
  <si>
    <t>City of Detroit Housing &amp; Revitalization Department</t>
  </si>
  <si>
    <t>Project Overview</t>
  </si>
  <si>
    <r>
      <rPr>
        <b/>
        <sz val="10"/>
        <color rgb="FF000000"/>
        <rFont val="Calibri"/>
        <family val="2"/>
        <scheme val="minor"/>
      </rPr>
      <t>Instructions:</t>
    </r>
    <r>
      <rPr>
        <sz val="10"/>
        <color rgb="FF000000"/>
        <rFont val="Calibri"/>
        <family val="2"/>
        <scheme val="minor"/>
      </rPr>
      <t xml:space="preserve">                                                                                                                                                                                                                                                                                                                                                            This tab determines the PILOT program applicable to your project and provides a high-level summary of the development information, sources &amp; uses, and unit mix. Answer all yellow highlighted fields in "project screening" and "development overview" sections, and continue to the next tabs.</t>
    </r>
  </si>
  <si>
    <t>Color Index:</t>
  </si>
  <si>
    <r>
      <rPr>
        <b/>
        <sz val="10"/>
        <color rgb="FF0000FF"/>
        <rFont val="Calibri"/>
        <family val="2"/>
        <scheme val="minor"/>
      </rPr>
      <t>Blue</t>
    </r>
    <r>
      <rPr>
        <sz val="10"/>
        <color theme="1"/>
        <rFont val="Calibri"/>
        <family val="2"/>
        <scheme val="minor"/>
      </rPr>
      <t xml:space="preserve"> = Input</t>
    </r>
  </si>
  <si>
    <r>
      <rPr>
        <b/>
        <sz val="10"/>
        <color rgb="FF009900"/>
        <rFont val="Calibri"/>
        <family val="2"/>
        <scheme val="minor"/>
      </rPr>
      <t>Green</t>
    </r>
    <r>
      <rPr>
        <sz val="10"/>
        <color theme="1"/>
        <rFont val="Calibri"/>
        <family val="2"/>
        <scheme val="minor"/>
      </rPr>
      <t xml:space="preserve"> = Lookup</t>
    </r>
  </si>
  <si>
    <r>
      <rPr>
        <b/>
        <sz val="10"/>
        <color theme="1"/>
        <rFont val="Calibri"/>
        <family val="2"/>
        <scheme val="minor"/>
      </rPr>
      <t>Black</t>
    </r>
    <r>
      <rPr>
        <sz val="10"/>
        <color theme="1"/>
        <rFont val="Calibri"/>
        <family val="2"/>
        <scheme val="minor"/>
      </rPr>
      <t xml:space="preserve"> = Calculation</t>
    </r>
  </si>
  <si>
    <t>Project Screening Questions</t>
  </si>
  <si>
    <t>City of Detroit HRD PILOT Rates</t>
  </si>
  <si>
    <t>What Is The Project Type?</t>
  </si>
  <si>
    <t>Average % AMI</t>
  </si>
  <si>
    <t>Standard Rate</t>
  </si>
  <si>
    <t>Long-Term Vacant Rate</t>
  </si>
  <si>
    <t>What Is The Average AMI?</t>
  </si>
  <si>
    <t>Is this a Government-Aided housing project?</t>
  </si>
  <si>
    <t>What Is The Type of Residential Project?</t>
  </si>
  <si>
    <t>TBD</t>
  </si>
  <si>
    <t>What is the construction status?</t>
  </si>
  <si>
    <t>PILOT Program Category</t>
  </si>
  <si>
    <t>Up to 60% AMI</t>
  </si>
  <si>
    <t>PILOT Rate</t>
  </si>
  <si>
    <t>Development Overview</t>
  </si>
  <si>
    <t>Sources &amp; Uses</t>
  </si>
  <si>
    <t>Unit Mix Summary</t>
  </si>
  <si>
    <t>Item</t>
  </si>
  <si>
    <t>Input</t>
  </si>
  <si>
    <t>$ Amount</t>
  </si>
  <si>
    <t>$ / Unit</t>
  </si>
  <si>
    <t>% of Total</t>
  </si>
  <si>
    <t>% AMI</t>
  </si>
  <si>
    <t>Studio</t>
  </si>
  <si>
    <t>1 Bedroom</t>
  </si>
  <si>
    <t>2 Bedroom</t>
  </si>
  <si>
    <t>3 Bedroom</t>
  </si>
  <si>
    <t>4+ Bedroom</t>
  </si>
  <si>
    <t>Total</t>
  </si>
  <si>
    <t>Property Address</t>
  </si>
  <si>
    <t>Construction Sources</t>
  </si>
  <si>
    <t>PSH</t>
  </si>
  <si>
    <t>Project Name</t>
  </si>
  <si>
    <t>New Equity</t>
  </si>
  <si>
    <t>Tax Credit Equity</t>
  </si>
  <si>
    <t>Construction Start Date</t>
  </si>
  <si>
    <t>Tax Credit Bridge Loan</t>
  </si>
  <si>
    <t>Construction Months</t>
  </si>
  <si>
    <t>Construction Loan</t>
  </si>
  <si>
    <t>Construction End Date</t>
  </si>
  <si>
    <t>Deferred Developer Fee</t>
  </si>
  <si>
    <t>Grants</t>
  </si>
  <si>
    <t>Gross SF</t>
  </si>
  <si>
    <t>Other</t>
  </si>
  <si>
    <t># of Residential Units</t>
  </si>
  <si>
    <t>Gap</t>
  </si>
  <si>
    <t>Market-Rate Units</t>
  </si>
  <si>
    <t>Total Construction Sources</t>
  </si>
  <si>
    <t>Affordable Units</t>
  </si>
  <si>
    <t>PSH Units</t>
  </si>
  <si>
    <t>Permanent Sources</t>
  </si>
  <si>
    <t>Commercial Units</t>
  </si>
  <si>
    <t>Residential Rentable SF</t>
  </si>
  <si>
    <t>Market-Rate Rentable SF</t>
  </si>
  <si>
    <t>Permanent Loan</t>
  </si>
  <si>
    <t>Affordable Rentable SF</t>
  </si>
  <si>
    <t>Commercial Rentable SF</t>
  </si>
  <si>
    <t>Non-Rentable SF</t>
  </si>
  <si>
    <t>Occupancy %</t>
  </si>
  <si>
    <t>Average AMI %</t>
  </si>
  <si>
    <t>Total Permanent Sources</t>
  </si>
  <si>
    <t>% of Affordable Units</t>
  </si>
  <si>
    <t>Uses</t>
  </si>
  <si>
    <t>Acquisition Costs</t>
  </si>
  <si>
    <t>None - Market</t>
  </si>
  <si>
    <t>Hard Costs</t>
  </si>
  <si>
    <t>Soft Costs</t>
  </si>
  <si>
    <t>Total Uses</t>
  </si>
  <si>
    <r>
      <t xml:space="preserve">Gross Potential Rent Escalation Table - </t>
    </r>
    <r>
      <rPr>
        <b/>
        <i/>
        <u/>
        <sz val="10"/>
        <color theme="1"/>
        <rFont val="Calibri"/>
        <family val="2"/>
        <scheme val="minor"/>
      </rPr>
      <t>For Assessor's Office Only</t>
    </r>
  </si>
  <si>
    <t>Escalation Factor</t>
  </si>
  <si>
    <t>Gross Potential Rent</t>
  </si>
  <si>
    <t>Rent Roll</t>
  </si>
  <si>
    <r>
      <rPr>
        <b/>
        <sz val="10"/>
        <color rgb="FF000000"/>
        <rFont val="Calibri"/>
        <family val="2"/>
      </rPr>
      <t>Instructions:</t>
    </r>
    <r>
      <rPr>
        <sz val="10"/>
        <color rgb="FF000000"/>
        <rFont val="Calibri"/>
        <family val="2"/>
      </rPr>
      <t xml:space="preserve">                                                                                                                                                                                                                                                                                                                                               Input unit details for all residential units including income-restricted, PSH, and market rate.                                                                                                                                                                                                                                                                                                                                                                                                                            -</t>
    </r>
    <r>
      <rPr>
        <u/>
        <sz val="10"/>
        <color rgb="FF000000"/>
        <rFont val="Calibri"/>
        <family val="2"/>
      </rPr>
      <t xml:space="preserve"> Properties with occupied units</t>
    </r>
    <r>
      <rPr>
        <sz val="10"/>
        <color rgb="FF000000"/>
        <rFont val="Calibri"/>
        <family val="2"/>
      </rPr>
      <t xml:space="preserve">: Use this tab as a rent roll, unit by unit, entering "1" in Column H. For each occupied unit, select "Y" in Column G and enter current tenant data into Columns M-T. See example in row 25 and "Tenant Retention Rules" tab for details on allowable rent/compliance for tenant income relative to unit restriction.                                                                                                                                                                                                                                                                                                 
- </t>
    </r>
    <r>
      <rPr>
        <u/>
        <sz val="10"/>
        <color rgb="FF000000"/>
        <rFont val="Calibri"/>
        <family val="2"/>
      </rPr>
      <t>Vacant Properties/New Construction</t>
    </r>
    <r>
      <rPr>
        <sz val="10"/>
        <color rgb="FF000000"/>
        <rFont val="Calibri"/>
        <family val="2"/>
      </rPr>
      <t>: Enter unit mix by bedroom type and affordability restriction. In column H, enter the number of units of the applicable type. See example in row 24.                                                                       -</t>
    </r>
    <r>
      <rPr>
        <u/>
        <sz val="10"/>
        <color rgb="FF000000"/>
        <rFont val="Calibri"/>
        <family val="2"/>
      </rPr>
      <t>"Tenant Paid Utilities"</t>
    </r>
    <r>
      <rPr>
        <sz val="10"/>
        <color rgb="FF000000"/>
        <rFont val="Calibri"/>
        <family val="2"/>
      </rPr>
      <t xml:space="preserve"> complete the table in Column Z marking "Y" for any utilities paid by tenants to determine the MSHDA utility allowances (located on the Data tab) to determine restricted affordable net rent (column Z).  Option to use the "manual overrides" table for affordable rent per month and tenant-paid utilities per month by unit type.
-</t>
    </r>
    <r>
      <rPr>
        <u/>
        <sz val="10"/>
        <color rgb="FF000000"/>
        <rFont val="Calibri"/>
        <family val="2"/>
      </rPr>
      <t xml:space="preserve">If there are market rate </t>
    </r>
    <r>
      <rPr>
        <sz val="10"/>
        <color rgb="FF000000"/>
        <rFont val="Calibri"/>
        <family val="2"/>
      </rPr>
      <t>aka Unrestricted units, select "Market" in both columns J, K and L.                                                                                                                                                                                                             -</t>
    </r>
    <r>
      <rPr>
        <u/>
        <sz val="10"/>
        <color rgb="FF000000"/>
        <rFont val="Calibri"/>
        <family val="2"/>
      </rPr>
      <t>If there are Project-Based Voucher (PBV) units</t>
    </r>
    <r>
      <rPr>
        <sz val="10"/>
        <color rgb="FF000000"/>
        <rFont val="Calibri"/>
        <family val="2"/>
      </rPr>
      <t>, select "PBV - Income Restricted" in Column J and indicate the total rent amount, not the amount paid by the tenant, in column U.                                                                                  -</t>
    </r>
    <r>
      <rPr>
        <u/>
        <sz val="10"/>
        <color rgb="FF000000"/>
        <rFont val="Calibri"/>
        <family val="2"/>
      </rPr>
      <t>If a project is completed</t>
    </r>
    <r>
      <rPr>
        <sz val="10"/>
        <color rgb="FF000000"/>
        <rFont val="Calibri"/>
        <family val="2"/>
      </rPr>
      <t>, "current rent" and other "current" values should be reported as they were prior to the renovation, and "proposed rent" should reflect the post-renovation rent, if increased.                                             -</t>
    </r>
    <r>
      <rPr>
        <u/>
        <sz val="10"/>
        <color rgb="FF000000"/>
        <rFont val="Calibri"/>
        <family val="2"/>
      </rPr>
      <t>Note:</t>
    </r>
    <r>
      <rPr>
        <sz val="10"/>
        <color rgb="FF000000"/>
        <rFont val="Calibri"/>
        <family val="2"/>
      </rPr>
      <t xml:space="preserve"> "Proposed rent," "Restricted rent," and "Assumed rent" are based on currently-available MSHDA/HUD data. Allowable rents during PILOT will depend on values at the time a lease is entered into.</t>
    </r>
  </si>
  <si>
    <t>Tenant Paid Utilities</t>
  </si>
  <si>
    <t>Utility</t>
  </si>
  <si>
    <t>Tenant Paid?</t>
  </si>
  <si>
    <t>Heating</t>
  </si>
  <si>
    <t>Natural Gas</t>
  </si>
  <si>
    <t>N</t>
  </si>
  <si>
    <t>Electric (resistance)</t>
  </si>
  <si>
    <t>Electric (heat pump)</t>
  </si>
  <si>
    <t>Cooking</t>
  </si>
  <si>
    <t>Electric</t>
  </si>
  <si>
    <t>Hot Water</t>
  </si>
  <si>
    <t>Manual Overrides</t>
  </si>
  <si>
    <t>Other Electric</t>
  </si>
  <si>
    <t>Unit Type</t>
  </si>
  <si>
    <t>$ Rent / Mo</t>
  </si>
  <si>
    <t>$ Utility / Mo</t>
  </si>
  <si>
    <t>Water</t>
  </si>
  <si>
    <t>Sewer</t>
  </si>
  <si>
    <t>Trash</t>
  </si>
  <si>
    <t>Natural Gas Service Charge</t>
  </si>
  <si>
    <r>
      <rPr>
        <b/>
        <sz val="10"/>
        <color rgb="FFC00000"/>
        <rFont val="Calibri"/>
        <family val="2"/>
        <scheme val="minor"/>
      </rPr>
      <t>Red</t>
    </r>
    <r>
      <rPr>
        <sz val="10"/>
        <color rgb="FFC00000"/>
        <rFont val="Calibri"/>
        <family val="2"/>
        <scheme val="minor"/>
      </rPr>
      <t xml:space="preserve"> = Invalid Input</t>
    </r>
  </si>
  <si>
    <t>Electric Service Charge</t>
  </si>
  <si>
    <t>ONLY FILL OUT IF OCCUPIED, OTHERWISE INPUT "NA" OR "0" AS SHOWN BELOW</t>
  </si>
  <si>
    <t>Unit Number</t>
  </si>
  <si>
    <t>Unit Description</t>
  </si>
  <si>
    <t>Unit Size</t>
  </si>
  <si>
    <t>Unit SF</t>
  </si>
  <si>
    <t>Occupied? (Y/N)</t>
  </si>
  <si>
    <t># of Total Units</t>
  </si>
  <si>
    <t>Total SF</t>
  </si>
  <si>
    <t>Affordability Type At Completion</t>
  </si>
  <si>
    <t>Max % Unit Income Restriction At Completion</t>
  </si>
  <si>
    <t>Rent Restriction At Completion</t>
  </si>
  <si>
    <t xml:space="preserve">Current $ Annual Household Income </t>
  </si>
  <si>
    <t>Current # of Household Persons</t>
  </si>
  <si>
    <t>Current Household AMI</t>
  </si>
  <si>
    <t>Adjusting Existing Rent?</t>
  </si>
  <si>
    <t>Tenant Has Voucher?</t>
  </si>
  <si>
    <t>Current Rent (As Occupied)</t>
  </si>
  <si>
    <t>Proposed Initial Lease Rent (As Completed)</t>
  </si>
  <si>
    <t>Restricted Affordable Rent</t>
  </si>
  <si>
    <t>Assumed Rent</t>
  </si>
  <si>
    <t>Proposed Rent Within Income Restriction?</t>
  </si>
  <si>
    <t>Proposed Rent Compliant per Tenant Retention?</t>
  </si>
  <si>
    <t>Proposed Rent Within 30% of Tenant Income?</t>
  </si>
  <si>
    <t>Proposed Rent Increase &lt; 5%?</t>
  </si>
  <si>
    <t>Tenant Retention Category</t>
  </si>
  <si>
    <t>Current Tenant Compliance Policy</t>
  </si>
  <si>
    <t>$ Rent PSF / Mo</t>
  </si>
  <si>
    <t>$ Annual Current Rent</t>
  </si>
  <si>
    <t>$ Annual Future Rent</t>
  </si>
  <si>
    <t>$ Net Rent / Mo</t>
  </si>
  <si>
    <t>$ Net Rent PSF / Mo</t>
  </si>
  <si>
    <t>$ Gross Potential Rent</t>
  </si>
  <si>
    <t>$ Assumed Annual Rent</t>
  </si>
  <si>
    <t>Sample - Vacant</t>
  </si>
  <si>
    <t>1A</t>
  </si>
  <si>
    <t>Income-Restricted</t>
  </si>
  <si>
    <t>MSHDA AMI</t>
  </si>
  <si>
    <t>NA</t>
  </si>
  <si>
    <t>Sample - Occupied</t>
  </si>
  <si>
    <t>Y</t>
  </si>
  <si>
    <t>1 Person</t>
  </si>
  <si>
    <t>&lt;INSERT DESC&gt;</t>
  </si>
  <si>
    <t>Total / Average</t>
  </si>
  <si>
    <t>FTHP/GAHP Project Financials</t>
  </si>
  <si>
    <r>
      <rPr>
        <b/>
        <sz val="10"/>
        <color rgb="FF000000"/>
        <rFont val="Calibri"/>
        <family val="2"/>
      </rPr>
      <t>Instructions:</t>
    </r>
    <r>
      <rPr>
        <sz val="10"/>
        <color rgb="FF000000"/>
        <rFont val="Calibri"/>
        <family val="2"/>
      </rPr>
      <t xml:space="preserve"> </t>
    </r>
    <r>
      <rPr>
        <u/>
        <sz val="10"/>
        <color rgb="FF000000"/>
        <rFont val="Calibri"/>
        <family val="2"/>
      </rPr>
      <t xml:space="preserve">ONLY FILL OUT THIS TAB IF APPLYING FOR FTHP or GAHP
</t>
    </r>
    <r>
      <rPr>
        <sz val="10"/>
        <color rgb="FF000000"/>
        <rFont val="Calibri"/>
        <family val="2"/>
      </rPr>
      <t>-All projects must complete one of two "financials" tabs. This tab is applicable to projects eligible for the Fast Track Housing Project (FTHP) or the Government Assisted Housing Project (GAHP) as indicated on the Overview Tab. Enter development budget and sources &amp; uses for the project. Note: Total Hard costs (M57) should match Part A of the Neighborly application. Notify City HRD staff if a change to that field is needed.                                                                                                                                                                                                                                                                                                                                                                                -This sheet also calculates estimated PILOT service charge under the three different rental revenue calculation methods. 
1) Net Shelter Rent - calculated by taking gross receipts less vacancy less utilities, and audited financial statements will need to be submitted annually. Rental Revenue pulls from "Assumed Rent" on the Rent Roll tab, please input your expected vacancy and utility expenses.
2) Utility Adjusted Gross Potential Rent - calculated by taking gross potential rent before utility allowances less utilities, and owner utility bills will need to be submitted annually. Rental Revenue pulls from "Gross Potential Rent" on the Rent Roll tab, please input your expected utility expenses.
3) Gross Potential Rent - calculated by taking gross potential rent less MSHDA standard utility allowances. Rental Revenue pulls from "Gross Potential Rent" on the Rent Roll tab.</t>
    </r>
  </si>
  <si>
    <t>Development Budget</t>
  </si>
  <si>
    <t>$ / GSF</t>
  </si>
  <si>
    <t>Construction Period Sources</t>
  </si>
  <si>
    <t>Land</t>
  </si>
  <si>
    <t>Senior Construction Loan</t>
  </si>
  <si>
    <t>Existing Buildings</t>
  </si>
  <si>
    <t>Mezzanine Loan A</t>
  </si>
  <si>
    <t>Other Acquisition Costs:</t>
  </si>
  <si>
    <t>Mezzanine Loan B</t>
  </si>
  <si>
    <t>Total Acqusition Costs</t>
  </si>
  <si>
    <t>Mezzanine Loan C</t>
  </si>
  <si>
    <t>Grant Funds A</t>
  </si>
  <si>
    <t>Grant Funds B</t>
  </si>
  <si>
    <t>Direct Trades</t>
  </si>
  <si>
    <t>Grant Funds C</t>
  </si>
  <si>
    <t>Off-Site Improvements</t>
  </si>
  <si>
    <t>LIHTC Bridge Loan</t>
  </si>
  <si>
    <t>On-Site Improvements</t>
  </si>
  <si>
    <t>HTC Bridge Loan</t>
  </si>
  <si>
    <t>Landscaping &amp; Irrigation</t>
  </si>
  <si>
    <t>Upfront LIHTC Equity</t>
  </si>
  <si>
    <t>Structures</t>
  </si>
  <si>
    <t>Upfront HTC Equity</t>
  </si>
  <si>
    <t>Community Building / Maintenance Facility</t>
  </si>
  <si>
    <t>Construction Not in Basis (Carports &amp; Commercial Space)</t>
  </si>
  <si>
    <t>Sponsor Loan</t>
  </si>
  <si>
    <t>Other Direct Trades:</t>
  </si>
  <si>
    <t>Cash Equity</t>
  </si>
  <si>
    <t>Subtotal Direct Trades</t>
  </si>
  <si>
    <t>Gap In Financing</t>
  </si>
  <si>
    <t>Other Construction Sources:</t>
  </si>
  <si>
    <t>Indirect Trades</t>
  </si>
  <si>
    <t>General Conditions / General Requirements</t>
  </si>
  <si>
    <t>Total Construction Period Sources</t>
  </si>
  <si>
    <t>Builders Overhead</t>
  </si>
  <si>
    <t>Builders Profit</t>
  </si>
  <si>
    <t>Builders Contingency</t>
  </si>
  <si>
    <t>Senior Permanent Loan</t>
  </si>
  <si>
    <t>Building Permit</t>
  </si>
  <si>
    <t>Builders Payment &amp; Performance Bond</t>
  </si>
  <si>
    <t>Builders Risk &amp; General Liability Insurance</t>
  </si>
  <si>
    <t>Bond Premium, Tap Fees, Cost Cert.</t>
  </si>
  <si>
    <t>Other Indirect Trades:</t>
  </si>
  <si>
    <t>Subtotal Indirect Trades</t>
  </si>
  <si>
    <t>LIHTC Equity</t>
  </si>
  <si>
    <t>Total Hard Costs</t>
  </si>
  <si>
    <t>HTC Equity</t>
  </si>
  <si>
    <t>Professional Fees</t>
  </si>
  <si>
    <t>Design Architect Fees</t>
  </si>
  <si>
    <t>Supervisory Architect Fees</t>
  </si>
  <si>
    <t>Other Permanent Sources:</t>
  </si>
  <si>
    <t>Landscape Architect Fees</t>
  </si>
  <si>
    <t>Engineering/Survey</t>
  </si>
  <si>
    <t>Legal Fees</t>
  </si>
  <si>
    <t>Interior Design Fees</t>
  </si>
  <si>
    <t>Other Professional Fees:</t>
  </si>
  <si>
    <t>Acqusition Costs</t>
  </si>
  <si>
    <t>Subtotal Professional Fees</t>
  </si>
  <si>
    <t>Interim Construction Costs</t>
  </si>
  <si>
    <t>Property &amp; Casualty Insurance</t>
  </si>
  <si>
    <t>Construction Loan Interest</t>
  </si>
  <si>
    <t>Title Work</t>
  </si>
  <si>
    <t>Construction Taxes</t>
  </si>
  <si>
    <t>Estimated PILOT Tax Liability Analysis (For Developer Reference)</t>
  </si>
  <si>
    <t>Permits</t>
  </si>
  <si>
    <t>Net Shelter Rent</t>
  </si>
  <si>
    <t>Utility Adjusted Gross Potential Rent</t>
  </si>
  <si>
    <t>Other Interim Construction Costs:</t>
  </si>
  <si>
    <t>Subtotal Interim Construction Costs</t>
  </si>
  <si>
    <t>Assumptions</t>
  </si>
  <si>
    <t>Permanent Financing</t>
  </si>
  <si>
    <t>PILOT Type</t>
  </si>
  <si>
    <t>Loan Commitment Fee</t>
  </si>
  <si>
    <t>% PILOT Rate</t>
  </si>
  <si>
    <t>Other Permanent Financing:</t>
  </si>
  <si>
    <t>Reporting Requirement</t>
  </si>
  <si>
    <t>Audit</t>
  </si>
  <si>
    <t>Owner Utility Bills</t>
  </si>
  <si>
    <t>Subtotal Permanent Financing</t>
  </si>
  <si>
    <t>PILOT Calculation</t>
  </si>
  <si>
    <t>Other Costs (In Basis)</t>
  </si>
  <si>
    <t>Rental Revenue</t>
  </si>
  <si>
    <t>Application Fee</t>
  </si>
  <si>
    <t>Vacancy Factor</t>
  </si>
  <si>
    <t>Market Study</t>
  </si>
  <si>
    <t>Utilities</t>
  </si>
  <si>
    <t>Environmental Studies</t>
  </si>
  <si>
    <t>PILOT Tax Basis Rent</t>
  </si>
  <si>
    <t>Cost Certification</t>
  </si>
  <si>
    <t>Equipment &amp; Furnishings</t>
  </si>
  <si>
    <t>Annual Tax Liability</t>
  </si>
  <si>
    <t>Temporary Tenant Relocation</t>
  </si>
  <si>
    <t>PILOT Taxes</t>
  </si>
  <si>
    <t>Construction Contingency</t>
  </si>
  <si>
    <t>Taxes / Unit</t>
  </si>
  <si>
    <t>Appraisal &amp; C.N.A.</t>
  </si>
  <si>
    <t>Other:</t>
  </si>
  <si>
    <t>Subtotal Other Costs (In Basis)</t>
  </si>
  <si>
    <t>Other Costs (Not In Basis)</t>
  </si>
  <si>
    <t>Start-up &amp; Organization</t>
  </si>
  <si>
    <t>Tax Credit Fees</t>
  </si>
  <si>
    <t>Compliance Monitoring Fee</t>
  </si>
  <si>
    <t>Marketing Expense</t>
  </si>
  <si>
    <t>Syndication Legal Fees</t>
  </si>
  <si>
    <t>Rent Up Allowance</t>
  </si>
  <si>
    <t>Subtotal Other Costs (Not In Basis)</t>
  </si>
  <si>
    <t>Project Reserves</t>
  </si>
  <si>
    <t>Operating Assurance Reserve</t>
  </si>
  <si>
    <t>Replacement Reserve</t>
  </si>
  <si>
    <t>Operating Deficit Reserve</t>
  </si>
  <si>
    <t>Rent Subsidy Reserve</t>
  </si>
  <si>
    <t>Sydnicator Held Reserve</t>
  </si>
  <si>
    <t>Rent Lag Escrow</t>
  </si>
  <si>
    <t>Tax &amp; Insurance Escrows</t>
  </si>
  <si>
    <t>Other Project Reserves:</t>
  </si>
  <si>
    <t>Subtotal Project Reserves</t>
  </si>
  <si>
    <t>Miscellaneous</t>
  </si>
  <si>
    <t>Deposit to Development Operating Account (1MGRP)</t>
  </si>
  <si>
    <t>Other (Not In Basis):</t>
  </si>
  <si>
    <t>Other (In Basis):</t>
  </si>
  <si>
    <t>Subtotal Miscellaneous</t>
  </si>
  <si>
    <t>Developer Fees</t>
  </si>
  <si>
    <t>Total Soft Costs</t>
  </si>
  <si>
    <t>Total Development Costs</t>
  </si>
  <si>
    <t>SWHP Project Financials</t>
  </si>
  <si>
    <r>
      <rPr>
        <b/>
        <sz val="10"/>
        <color rgb="FF000000"/>
        <rFont val="Calibri"/>
        <family val="2"/>
        <scheme val="minor"/>
      </rPr>
      <t>Instructions:</t>
    </r>
    <r>
      <rPr>
        <sz val="10"/>
        <color rgb="FF000000"/>
        <rFont val="Calibri"/>
        <family val="2"/>
        <scheme val="minor"/>
      </rPr>
      <t xml:space="preserve"> </t>
    </r>
    <r>
      <rPr>
        <u/>
        <sz val="10"/>
        <color rgb="FF000000"/>
        <rFont val="Calibri"/>
        <family val="2"/>
        <scheme val="minor"/>
      </rPr>
      <t xml:space="preserve">ONLY FILL OUT THIS TAB IF APPLYING FOR SWHP
</t>
    </r>
    <r>
      <rPr>
        <sz val="10"/>
        <color rgb="FF000000"/>
        <rFont val="Calibri"/>
        <family val="2"/>
        <scheme val="minor"/>
      </rPr>
      <t xml:space="preserve">-All projects must complete one of two "financials" tabs. This tab is applicable to projects applying as Standard Workforce Housing Projects (SWHP) as indicated on the Overview Tab. Enter all applicable fields for development budget, sources &amp; use, stabilized income and expenses, current and future inflaction factors, and parcel information. Note total Hard costs (P56) should match Part A of the Neighborly application. Notify City HRD staff if a change to that field is needed.                                      -This sheet also estimates tax liabilities under a variety of scenarios including different PILOT rates.                                                                                                                                </t>
    </r>
  </si>
  <si>
    <t>Stabilized Income Statement</t>
  </si>
  <si>
    <t>15-Year Cash Flow</t>
  </si>
  <si>
    <t>Financing Assumptions (Third-Party Loans Only)</t>
  </si>
  <si>
    <t>Current Inflation</t>
  </si>
  <si>
    <t>Future Inflation</t>
  </si>
  <si>
    <t>Future Inflation Start Year</t>
  </si>
  <si>
    <t>Loan Type</t>
  </si>
  <si>
    <t>Interest Rate</t>
  </si>
  <si>
    <t>Amortization (Yrs)</t>
  </si>
  <si>
    <t>Revenue</t>
  </si>
  <si>
    <t>Assumed Annual Residential Revenue</t>
  </si>
  <si>
    <t>Assumed Annual Commercial Revenue</t>
  </si>
  <si>
    <t>Other Revenue</t>
  </si>
  <si>
    <t>Gross Revenue</t>
  </si>
  <si>
    <t>Operating Expenses</t>
  </si>
  <si>
    <t>Vacancy &amp; Credit Loss</t>
  </si>
  <si>
    <t>Administration / Payroll</t>
  </si>
  <si>
    <t>Gas</t>
  </si>
  <si>
    <t>Water &amp; Sewer</t>
  </si>
  <si>
    <t>Advertising / Marketing</t>
  </si>
  <si>
    <t>Janitorial / Security / Grounds Maintenance</t>
  </si>
  <si>
    <t>Repairs &amp; Maintenance</t>
  </si>
  <si>
    <t>Real Estate Taxes</t>
  </si>
  <si>
    <t>Insurance</t>
  </si>
  <si>
    <t>Other Expense Item:</t>
  </si>
  <si>
    <t>Management Fee</t>
  </si>
  <si>
    <t>Total Operating Expenses</t>
  </si>
  <si>
    <t>Net Operating Income</t>
  </si>
  <si>
    <t>Debt Service Coverage Ratio</t>
  </si>
  <si>
    <t>Debt Services</t>
  </si>
  <si>
    <t>Total Debt Service</t>
  </si>
  <si>
    <t>Cash Flow After Debt Service</t>
  </si>
  <si>
    <t>Return Metrics</t>
  </si>
  <si>
    <t>Average</t>
  </si>
  <si>
    <t>Yield-to-Cost (NOI / Total Cost)</t>
  </si>
  <si>
    <t>Cash-on-Cash Return (CFADS / Developer Equity)</t>
  </si>
  <si>
    <t>Avg. Cash-on-Cash Return (CFADS / Developer Equity)</t>
  </si>
  <si>
    <t>Mortgage Constant (Debt Service / Total Debt)</t>
  </si>
  <si>
    <t>Select Scenario:</t>
  </si>
  <si>
    <t>Property Tax Information</t>
  </si>
  <si>
    <t>Estimated Property Tax Analysis</t>
  </si>
  <si>
    <t>Input / Amount</t>
  </si>
  <si>
    <t>Current Tax Liability</t>
  </si>
  <si>
    <t>Uncapped Tax Liability - No Improvements</t>
  </si>
  <si>
    <t>Tax Liability + Improvements</t>
  </si>
  <si>
    <t>Abatement + Improvements</t>
  </si>
  <si>
    <t>PILOT + Improvements + Net Shelter Rent</t>
  </si>
  <si>
    <t>PILOT + Improvements + Utility Adj GPR</t>
  </si>
  <si>
    <t>PILOT + Improvements + Gross Rent</t>
  </si>
  <si>
    <t>Parcel Address(s)</t>
  </si>
  <si>
    <t>Controls</t>
  </si>
  <si>
    <t>Is This A Pending Acquisition? (Y/N)</t>
  </si>
  <si>
    <t>Parcel ID(s)</t>
  </si>
  <si>
    <t>Abatement Type</t>
  </si>
  <si>
    <t>SWHP PILOT Rate (Manual)</t>
  </si>
  <si>
    <t>Utility Adj GPR</t>
  </si>
  <si>
    <t>Gross Rent</t>
  </si>
  <si>
    <t>Parcel Acreage</t>
  </si>
  <si>
    <t>% PILOT Rate (Income-Restricted Only)</t>
  </si>
  <si>
    <t>Existing Building  SF</t>
  </si>
  <si>
    <t>Building Addition SF</t>
  </si>
  <si>
    <t>Ad Valorem Taxes (Non-Exempt)</t>
  </si>
  <si>
    <t>Land True Cash Value</t>
  </si>
  <si>
    <t>Abatement Taxes</t>
  </si>
  <si>
    <t>"As-Is" Assessed Value</t>
  </si>
  <si>
    <t>"As-Is" Taxable Value</t>
  </si>
  <si>
    <t>Total Annual Tax Liability</t>
  </si>
  <si>
    <t>"As-Complete" Assessed Value</t>
  </si>
  <si>
    <t>Investment Summary</t>
  </si>
  <si>
    <r>
      <rPr>
        <b/>
        <sz val="10"/>
        <color rgb="FF000000"/>
        <rFont val="Calibri"/>
        <family val="2"/>
      </rPr>
      <t xml:space="preserve">Instructions:                                                                                                                                                                                                                                                             </t>
    </r>
    <r>
      <rPr>
        <sz val="10"/>
        <color rgb="FF000000"/>
        <rFont val="Calibri"/>
        <family val="2"/>
      </rPr>
      <t xml:space="preserve"> - Verification of investment is required for projects where construction is complete. This sheet be used for new PILOTs where construction is complete or for PILOT renewals/conversions documenting investment over the initial term of the PILOT/abatement. This sheet, in addition to invoices, can be used to verify investment when Certificate of Acceptance or 3rd Party Cost Certification is not provided.                                                                                                                                                                                                                                    - Enter all capital investments completed as part of the rehabilitation project, including investment description, amount spent, vendor, invoice number, and invoice date for all applicable capital investments.                                                                                                                                             - Corresponding invoices will be included in the PILOT application and/or in the "packet" to the Assessor to activate the PILOT.</t>
    </r>
  </si>
  <si>
    <t>Description</t>
  </si>
  <si>
    <t>Vendor</t>
  </si>
  <si>
    <t>Invoice Number</t>
  </si>
  <si>
    <t>Invoice Date</t>
  </si>
  <si>
    <t>&lt;INSERT&gt;</t>
  </si>
  <si>
    <t>Data Validation List</t>
  </si>
  <si>
    <t>Bedroom Type</t>
  </si>
  <si>
    <t>% Income Restr</t>
  </si>
  <si>
    <t>Affordability Type</t>
  </si>
  <si>
    <t>Rent Restriction</t>
  </si>
  <si>
    <t>Current Tenant Voucher?</t>
  </si>
  <si>
    <t>PILOT Program</t>
  </si>
  <si>
    <t>PILOT Abbrv</t>
  </si>
  <si>
    <t>PILOT Calc</t>
  </si>
  <si>
    <t>SWHP PILOT Rate</t>
  </si>
  <si>
    <t>Residential Type</t>
  </si>
  <si>
    <t>Construction status</t>
  </si>
  <si>
    <t>Y/N</t>
  </si>
  <si>
    <t>Income Restriction</t>
  </si>
  <si>
    <t>Min AMI</t>
  </si>
  <si>
    <t>Max AMI</t>
  </si>
  <si>
    <t>Construction Type</t>
  </si>
  <si>
    <t>Project Type</t>
  </si>
  <si>
    <t># of Persons</t>
  </si>
  <si>
    <t>UA Unit Type</t>
  </si>
  <si>
    <t>Interest-Only</t>
  </si>
  <si>
    <t>OPRA</t>
  </si>
  <si>
    <t>High-rise, Low-rise</t>
  </si>
  <si>
    <t>Not yet started</t>
  </si>
  <si>
    <t>New Construction</t>
  </si>
  <si>
    <t>Apartment</t>
  </si>
  <si>
    <t>Market</t>
  </si>
  <si>
    <t>GAHP - Government-Aided Housing Project</t>
  </si>
  <si>
    <t>GAHP</t>
  </si>
  <si>
    <t>Amortizing</t>
  </si>
  <si>
    <t>OPRA +</t>
  </si>
  <si>
    <t>Townhouse, Duplex, Triplex, Fourplex</t>
  </si>
  <si>
    <t>In progress</t>
  </si>
  <si>
    <t>61% - 80% AMI</t>
  </si>
  <si>
    <t>Existing</t>
  </si>
  <si>
    <t>Occupied Rehab</t>
  </si>
  <si>
    <t>2 Person</t>
  </si>
  <si>
    <t>Attached Single Family</t>
  </si>
  <si>
    <t>PBV</t>
  </si>
  <si>
    <t>FTHP - Fast Track Housing Project</t>
  </si>
  <si>
    <t>FTHP</t>
  </si>
  <si>
    <t>PA-210</t>
  </si>
  <si>
    <t>Single Family Detached, Manufactured Home</t>
  </si>
  <si>
    <t>Complete</t>
  </si>
  <si>
    <t>81% - 120% AMI</t>
  </si>
  <si>
    <t>Long Term Vacant Rehab</t>
  </si>
  <si>
    <t>3 Person</t>
  </si>
  <si>
    <t>Detached Single Family</t>
  </si>
  <si>
    <t>PBV - Income-Restricted</t>
  </si>
  <si>
    <t>HUD FMR</t>
  </si>
  <si>
    <t>HCV</t>
  </si>
  <si>
    <t>SWHP - Standard Workforce Housing Project</t>
  </si>
  <si>
    <t>SWHP</t>
  </si>
  <si>
    <t>NEZ-R</t>
  </si>
  <si>
    <t>Short Term Vacant Rehab</t>
  </si>
  <si>
    <t>4 Person</t>
  </si>
  <si>
    <t>Vacant</t>
  </si>
  <si>
    <t>NEZ-N</t>
  </si>
  <si>
    <t>5 Person</t>
  </si>
  <si>
    <t>6 Person</t>
  </si>
  <si>
    <t>7 Person</t>
  </si>
  <si>
    <t>8 Person</t>
  </si>
  <si>
    <t>Lookup Data</t>
  </si>
  <si>
    <t>AMI Year:</t>
  </si>
  <si>
    <t>UA Year</t>
  </si>
  <si>
    <t>MSHDA AMI Rents</t>
  </si>
  <si>
    <t>MSHDA Utility Allowances</t>
  </si>
  <si>
    <t>Attached</t>
  </si>
  <si>
    <t>Detached</t>
  </si>
  <si>
    <t>0 BR</t>
  </si>
  <si>
    <t>1 BR</t>
  </si>
  <si>
    <t>2 BR</t>
  </si>
  <si>
    <t>3 BR</t>
  </si>
  <si>
    <t>4 BR</t>
  </si>
  <si>
    <t>Electric (resistence)</t>
  </si>
  <si>
    <t>HUD 2025 FMR</t>
  </si>
  <si>
    <t>Utility Allowance</t>
  </si>
  <si>
    <t>MSHDA AMI Incomes</t>
  </si>
  <si>
    <t>City of Detroit Millage Detail</t>
  </si>
  <si>
    <t>Long-Term Vacant Rehab</t>
  </si>
  <si>
    <t>Government Aided Housing - Standard</t>
  </si>
  <si>
    <t>Fast-Track Housing - Standard</t>
  </si>
  <si>
    <t>Standard Workforce Housing</t>
  </si>
  <si>
    <t>Tax Millage</t>
  </si>
  <si>
    <t>Millage Rate</t>
  </si>
  <si>
    <t>Improvement Millages</t>
  </si>
  <si>
    <t>School Operating</t>
  </si>
  <si>
    <t>State Education</t>
  </si>
  <si>
    <t>Wayne County Operating - Winter</t>
  </si>
  <si>
    <t>Wayne County Parks - Winter</t>
  </si>
  <si>
    <t>Wayne County Jail - Winter</t>
  </si>
  <si>
    <t>Wayne County RESA</t>
  </si>
  <si>
    <t>Wayne County RESA SP ED</t>
  </si>
  <si>
    <t>Wayne County Special RESA ENH</t>
  </si>
  <si>
    <t>General City Operating</t>
  </si>
  <si>
    <t>Library</t>
  </si>
  <si>
    <t>Wayne County Operating - Summer</t>
  </si>
  <si>
    <t>Huron Clinton Metropolitan Authority (HCMA)</t>
  </si>
  <si>
    <t xml:space="preserve">Wayne County Community College </t>
  </si>
  <si>
    <t>School Debt</t>
  </si>
  <si>
    <t>Bond Debt</t>
  </si>
  <si>
    <t>DIA Tax</t>
  </si>
  <si>
    <t>Zoo Tax</t>
  </si>
  <si>
    <t>Total Millage</t>
  </si>
  <si>
    <t>"Current Resident" Compliance and Rent Restriction Policy</t>
  </si>
  <si>
    <t>"Current Resident" Tenant Income</t>
  </si>
  <si>
    <t>&gt;120</t>
  </si>
  <si>
    <r>
      <rPr>
        <b/>
        <sz val="12"/>
        <color rgb="FF000000"/>
        <rFont val="Calibri"/>
        <family val="2"/>
        <scheme val="minor"/>
      </rPr>
      <t>Instructions</t>
    </r>
    <r>
      <rPr>
        <sz val="12"/>
        <color rgb="FF000000"/>
        <rFont val="Calibri"/>
        <family val="2"/>
        <scheme val="minor"/>
      </rPr>
      <t xml:space="preserve">:                                                                                                                                                                                This is an illustration of the policy regarding compliance and rent restrictions for </t>
    </r>
    <r>
      <rPr>
        <u/>
        <sz val="12"/>
        <color rgb="FF000000"/>
        <rFont val="Calibri"/>
        <family val="2"/>
        <scheme val="minor"/>
      </rPr>
      <t xml:space="preserve">tenant income </t>
    </r>
    <r>
      <rPr>
        <sz val="12"/>
        <color rgb="FF000000"/>
        <rFont val="Calibri"/>
        <family val="2"/>
        <scheme val="minor"/>
      </rPr>
      <t xml:space="preserve">relative to the </t>
    </r>
    <r>
      <rPr>
        <u/>
        <sz val="12"/>
        <color rgb="FF000000"/>
        <rFont val="Calibri"/>
        <family val="2"/>
        <scheme val="minor"/>
      </rPr>
      <t>unit restriction</t>
    </r>
    <r>
      <rPr>
        <sz val="12"/>
        <color rgb="FF000000"/>
        <rFont val="Calibri"/>
        <family val="2"/>
        <scheme val="minor"/>
      </rPr>
      <t xml:space="preserve"> for "current residents." Current residents are tenants occupying a property seeking PILOT, as of the time of the tenant retention plan. The tenant income is based on verified income-certification. Note that Government-Aided Housing Projects (GAHPs) may have affordability restrictions beyond those outlined here.</t>
    </r>
  </si>
  <si>
    <t>Unit Restriction</t>
  </si>
  <si>
    <t>1a</t>
  </si>
  <si>
    <t>2a</t>
  </si>
  <si>
    <t>3a</t>
  </si>
  <si>
    <t>3b</t>
  </si>
  <si>
    <t>Scenario</t>
  </si>
  <si>
    <t>Compliance and Rent Limits after Term of Current Lease</t>
  </si>
  <si>
    <t>2b</t>
  </si>
  <si>
    <r>
      <rPr>
        <sz val="11"/>
        <color rgb="FF000000"/>
        <rFont val="Calibri"/>
        <family val="2"/>
        <scheme val="minor"/>
      </rPr>
      <t xml:space="preserve">Tenant income 80% AMI or lower and </t>
    </r>
    <r>
      <rPr>
        <u/>
        <sz val="11"/>
        <color rgb="FF000000"/>
        <rFont val="Calibri"/>
        <family val="2"/>
        <scheme val="minor"/>
      </rPr>
      <t>at or below</t>
    </r>
    <r>
      <rPr>
        <sz val="11"/>
        <color rgb="FF000000"/>
        <rFont val="Calibri"/>
        <family val="2"/>
        <scheme val="minor"/>
      </rPr>
      <t xml:space="preserve"> unit restriction (or in a market/unrestricted unit).</t>
    </r>
  </si>
  <si>
    <r>
      <rPr>
        <u/>
        <sz val="11"/>
        <color rgb="FF000000"/>
        <rFont val="Calibri"/>
        <family val="2"/>
        <scheme val="minor"/>
      </rPr>
      <t>Compliant</t>
    </r>
    <r>
      <rPr>
        <sz val="11"/>
        <color rgb="FF000000"/>
        <rFont val="Calibri"/>
        <family val="2"/>
        <scheme val="minor"/>
      </rPr>
      <t>. Initial rent increase limited to the greater of +5% current rent or 30% of tenant income, increasing no more than 3% annually thereafter, capped at Max Allowable Rent based on unit restriction.</t>
    </r>
  </si>
  <si>
    <t>1b</t>
  </si>
  <si>
    <r>
      <rPr>
        <sz val="11"/>
        <color rgb="FF000000"/>
        <rFont val="Calibri"/>
        <family val="2"/>
        <scheme val="minor"/>
      </rPr>
      <t xml:space="preserve">Tenant income over 80% AMI and </t>
    </r>
    <r>
      <rPr>
        <u/>
        <sz val="11"/>
        <color rgb="FF000000"/>
        <rFont val="Calibri"/>
        <family val="2"/>
        <scheme val="minor"/>
      </rPr>
      <t xml:space="preserve">at or below </t>
    </r>
    <r>
      <rPr>
        <sz val="11"/>
        <color rgb="FF000000"/>
        <rFont val="Calibri"/>
        <family val="2"/>
        <scheme val="minor"/>
      </rPr>
      <t>unit restriction.</t>
    </r>
  </si>
  <si>
    <r>
      <rPr>
        <u/>
        <sz val="11"/>
        <color rgb="FF000000"/>
        <rFont val="Calibri"/>
        <family val="2"/>
        <scheme val="minor"/>
      </rPr>
      <t>Compliant</t>
    </r>
    <r>
      <rPr>
        <sz val="11"/>
        <color rgb="FF000000"/>
        <rFont val="Calibri"/>
        <family val="2"/>
        <scheme val="minor"/>
      </rPr>
      <t>. No rent restrictions relative to initial rent, max allowable rent for unit cap.</t>
    </r>
  </si>
  <si>
    <r>
      <rPr>
        <sz val="11"/>
        <color rgb="FF000000"/>
        <rFont val="Calibri"/>
        <family val="2"/>
        <scheme val="minor"/>
      </rPr>
      <t xml:space="preserve">Tenant income 80% AMI or lower and </t>
    </r>
    <r>
      <rPr>
        <u/>
        <sz val="11"/>
        <color rgb="FF000000"/>
        <rFont val="Calibri"/>
        <family val="2"/>
        <scheme val="minor"/>
      </rPr>
      <t>over</t>
    </r>
    <r>
      <rPr>
        <sz val="11"/>
        <color rgb="FF000000"/>
        <rFont val="Calibri"/>
        <family val="2"/>
        <scheme val="minor"/>
      </rPr>
      <t xml:space="preserve"> unit restriction.</t>
    </r>
  </si>
  <si>
    <r>
      <rPr>
        <sz val="11"/>
        <color rgb="FF000000"/>
        <rFont val="Calibri"/>
        <family val="2"/>
        <scheme val="minor"/>
      </rPr>
      <t xml:space="preserve">Tenant income 81-120% AMI and </t>
    </r>
    <r>
      <rPr>
        <u/>
        <sz val="11"/>
        <color rgb="FF000000"/>
        <rFont val="Calibri"/>
        <family val="2"/>
        <scheme val="minor"/>
      </rPr>
      <t>no more than 20% AMI over</t>
    </r>
    <r>
      <rPr>
        <sz val="11"/>
        <color rgb="FF000000"/>
        <rFont val="Calibri"/>
        <family val="2"/>
        <scheme val="minor"/>
      </rPr>
      <t xml:space="preserve"> unit restriction.</t>
    </r>
  </si>
  <si>
    <r>
      <rPr>
        <u/>
        <sz val="11"/>
        <color rgb="FF000000"/>
        <rFont val="Calibri"/>
        <family val="2"/>
        <scheme val="minor"/>
      </rPr>
      <t>Compliant</t>
    </r>
    <r>
      <rPr>
        <sz val="11"/>
        <color rgb="FF000000"/>
        <rFont val="Calibri"/>
        <family val="2"/>
        <scheme val="minor"/>
      </rPr>
      <t>. Rent is capped at Max Allowable Rent.</t>
    </r>
  </si>
  <si>
    <r>
      <rPr>
        <sz val="11"/>
        <color rgb="FF000000"/>
        <rFont val="Calibri"/>
        <family val="2"/>
        <scheme val="minor"/>
      </rPr>
      <t xml:space="preserve">Tenant income 81-120% AMI and </t>
    </r>
    <r>
      <rPr>
        <u/>
        <sz val="11"/>
        <color rgb="FF000000"/>
        <rFont val="Calibri"/>
        <family val="2"/>
        <scheme val="minor"/>
      </rPr>
      <t>more than 20% AMI over</t>
    </r>
    <r>
      <rPr>
        <sz val="11"/>
        <color rgb="FF000000"/>
        <rFont val="Calibri"/>
        <family val="2"/>
        <scheme val="minor"/>
      </rPr>
      <t xml:space="preserve"> unit restriction.</t>
    </r>
  </si>
  <si>
    <r>
      <rPr>
        <u/>
        <sz val="11"/>
        <color rgb="FF000000"/>
        <rFont val="Calibri"/>
        <family val="2"/>
        <scheme val="minor"/>
      </rPr>
      <t xml:space="preserve">Not Compliant </t>
    </r>
    <r>
      <rPr>
        <sz val="11"/>
        <color rgb="FF000000"/>
        <rFont val="Calibri"/>
        <family val="2"/>
        <scheme val="minor"/>
      </rPr>
      <t>after the term of the current lease, tenant cannot stay in a restricted unit.</t>
    </r>
  </si>
  <si>
    <t>Tenant income over 120% AMI or not reported, in a restricted unit.</t>
  </si>
  <si>
    <t>MKT</t>
  </si>
  <si>
    <t>4</t>
  </si>
  <si>
    <t>Tenant income over 80% AMI in a market/unrestricted unit.</t>
  </si>
  <si>
    <r>
      <rPr>
        <u/>
        <sz val="11"/>
        <color rgb="FF000000"/>
        <rFont val="Calibri"/>
        <family val="2"/>
        <scheme val="minor"/>
      </rPr>
      <t>Compliant</t>
    </r>
    <r>
      <rPr>
        <sz val="11"/>
        <color rgb="FF000000"/>
        <rFont val="Calibri"/>
        <family val="2"/>
        <scheme val="minor"/>
      </rPr>
      <t>. Market rent can be charged.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</si>
</sst>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_(&quot;$&quot;* \(#,##0.00\);_(&quot;$&quot;* &quot;-&quot;??_);_(@_)"/>
    <numFmt numFmtId="43" formatCode="_(* #,##0.00_);_(* \(#,##0.00\);_(* &quot;-&quot;??_);_(@_)"/>
    <numFmt numFmtId="164" formatCode="_(&quot;$&quot;* #,##0_);_(&quot;$&quot;* \(#,##0\);_(&quot;$&quot;* &quot;-&quot;??_);_(@_)"/>
    <numFmt numFmtId="165" formatCode="_([$$-409]* #,##0_);_([$$-409]* \(#,##0\);_([$$-409]* &quot;-&quot;??_);_(@_)"/>
    <numFmt numFmtId="166" formatCode="_(* #,##0_);_(* \(#,##0\);_(* &quot;-&quot;??_);_(@_)"/>
    <numFmt numFmtId="167" formatCode="_([$$-409]* #,##0.00_);_([$$-409]* \(#,##0.00\);_([$$-409]* &quot;-&quot;??_);_(@_)"/>
    <numFmt numFmtId="168" formatCode="0%\ &quot;Avg. AMI&quot;"/>
    <numFmt numFmtId="169" formatCode="0.0%"/>
    <numFmt numFmtId="170" formatCode="&quot;$&quot;#,##0\ &quot;Bldg AV PSF&quot;"/>
    <numFmt numFmtId="171" formatCode="#,##0\ &quot;Yrs&quot;"/>
    <numFmt numFmtId="172" formatCode="_(* #,##0.0000_);_(* \(#,##0.0000\);_(* &quot;-&quot;??_);_(@_)"/>
    <numFmt numFmtId="173" formatCode="0%\ &quot;Affordable&quot;"/>
    <numFmt numFmtId="174" formatCode="&quot;Year&quot;\ 0"/>
    <numFmt numFmtId="175" formatCode="#,##0\ &quot;Total SF&quot;"/>
    <numFmt numFmtId="176" formatCode="&quot;61% - 80%&quot;"/>
    <numFmt numFmtId="177" formatCode="&quot;81% - 120%&quot;"/>
    <numFmt numFmtId="178" formatCode="0.00%\ &quot;Occupied&quot;"/>
    <numFmt numFmtId="179" formatCode="0%\ &quot;vacancy&quot;"/>
    <numFmt numFmtId="180" formatCode="&quot;$&quot;#,##0\ &quot;/ unit&quot;"/>
    <numFmt numFmtId="181" formatCode="&quot;Year&quot;\ #"/>
    <numFmt numFmtId="182" formatCode="0%\ &quot;Occupied&quot;"/>
    <numFmt numFmtId="183" formatCode="0%\ &quot;AMI&quot;"/>
  </numFmts>
  <fonts count="38" x14ac:knownFonts="1">
    <font>
      <sz val="11"/>
      <color theme="1"/>
      <name val="Calibri"/>
      <family val="2"/>
      <scheme val="minor"/>
    </font>
    <font>
      <sz val="10"/>
      <color theme="1"/>
      <name val="Calibri"/>
      <family val="2"/>
      <scheme val="minor"/>
    </font>
    <font>
      <b/>
      <sz val="12"/>
      <color theme="1"/>
      <name val="Calibri"/>
      <family val="2"/>
      <scheme val="minor"/>
    </font>
    <font>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FF"/>
      <name val="Calibri"/>
      <family val="2"/>
      <scheme val="minor"/>
    </font>
    <font>
      <i/>
      <sz val="10"/>
      <color theme="1"/>
      <name val="Calibri"/>
      <family val="2"/>
      <scheme val="minor"/>
    </font>
    <font>
      <sz val="10"/>
      <color rgb="FF009900"/>
      <name val="Calibri"/>
      <family val="2"/>
      <scheme val="minor"/>
    </font>
    <font>
      <b/>
      <u/>
      <sz val="10"/>
      <color theme="1"/>
      <name val="Calibri"/>
      <family val="2"/>
      <scheme val="minor"/>
    </font>
    <font>
      <b/>
      <sz val="10"/>
      <color rgb="FF0000FF"/>
      <name val="Calibri"/>
      <family val="2"/>
      <scheme val="minor"/>
    </font>
    <font>
      <b/>
      <sz val="10"/>
      <color rgb="FF009900"/>
      <name val="Calibri"/>
      <family val="2"/>
      <scheme val="minor"/>
    </font>
    <font>
      <b/>
      <sz val="10"/>
      <color theme="0"/>
      <name val="Calibri"/>
      <family val="2"/>
      <scheme val="minor"/>
    </font>
    <font>
      <sz val="9"/>
      <color indexed="81"/>
      <name val="Tahoma"/>
      <family val="2"/>
    </font>
    <font>
      <b/>
      <sz val="9"/>
      <color indexed="81"/>
      <name val="Tahoma"/>
      <family val="2"/>
    </font>
    <font>
      <sz val="8"/>
      <name val="Calibri"/>
      <family val="2"/>
      <scheme val="minor"/>
    </font>
    <font>
      <sz val="10"/>
      <color rgb="FFC00000"/>
      <name val="Calibri"/>
      <family val="2"/>
      <scheme val="minor"/>
    </font>
    <font>
      <b/>
      <sz val="10"/>
      <color rgb="FFC00000"/>
      <name val="Calibri"/>
      <family val="2"/>
      <scheme val="minor"/>
    </font>
    <font>
      <b/>
      <i/>
      <u/>
      <sz val="10"/>
      <color theme="1"/>
      <name val="Calibri"/>
      <family val="2"/>
      <scheme val="minor"/>
    </font>
    <font>
      <b/>
      <sz val="9"/>
      <color indexed="81"/>
      <name val="Tahoma"/>
      <family val="2"/>
    </font>
    <font>
      <i/>
      <sz val="10"/>
      <name val="Calibri"/>
      <family val="2"/>
      <scheme val="minor"/>
    </font>
    <font>
      <sz val="10"/>
      <color rgb="FF000000"/>
      <name val="Calibri"/>
      <family val="2"/>
    </font>
    <font>
      <b/>
      <sz val="11"/>
      <color theme="1"/>
      <name val="Calibri"/>
      <family val="2"/>
      <scheme val="minor"/>
    </font>
    <font>
      <sz val="12"/>
      <color rgb="FF000000"/>
      <name val="Calibri"/>
      <family val="2"/>
      <scheme val="minor"/>
    </font>
    <font>
      <sz val="12"/>
      <color theme="1"/>
      <name val="Calibri"/>
      <family val="2"/>
      <scheme val="minor"/>
    </font>
    <font>
      <b/>
      <sz val="10"/>
      <color rgb="FF000000"/>
      <name val="Calibri"/>
      <family val="2"/>
      <scheme val="minor"/>
    </font>
    <font>
      <sz val="10"/>
      <color rgb="FF000000"/>
      <name val="Calibri"/>
      <family val="2"/>
      <scheme val="minor"/>
    </font>
    <font>
      <u/>
      <sz val="10"/>
      <color rgb="FF000000"/>
      <name val="Calibri"/>
      <family val="2"/>
      <scheme val="minor"/>
    </font>
    <font>
      <b/>
      <sz val="10"/>
      <color rgb="FF000000"/>
      <name val="Calibri"/>
      <family val="2"/>
    </font>
    <font>
      <sz val="10"/>
      <color rgb="FF000000"/>
      <name val="Calibri"/>
      <family val="2"/>
    </font>
    <font>
      <u/>
      <sz val="10"/>
      <color rgb="FF000000"/>
      <name val="Calibri"/>
      <family val="2"/>
    </font>
    <font>
      <sz val="11"/>
      <color rgb="FF000000"/>
      <name val="Calibri"/>
      <family val="2"/>
      <scheme val="minor"/>
    </font>
    <font>
      <u/>
      <sz val="11"/>
      <color rgb="FF000000"/>
      <name val="Calibri"/>
      <family val="2"/>
      <scheme val="minor"/>
    </font>
    <font>
      <b/>
      <sz val="18"/>
      <color theme="1"/>
      <name val="Calibri"/>
      <family val="2"/>
      <scheme val="minor"/>
    </font>
    <font>
      <sz val="12"/>
      <color rgb="FF000000"/>
      <name val="Calibri"/>
      <family val="2"/>
      <scheme val="minor"/>
    </font>
    <font>
      <b/>
      <sz val="12"/>
      <color rgb="FF000000"/>
      <name val="Calibri"/>
      <family val="2"/>
      <scheme val="minor"/>
    </font>
    <font>
      <u/>
      <sz val="12"/>
      <color rgb="FF000000"/>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FFCCCC"/>
        <bgColor indexed="64"/>
      </patternFill>
    </fill>
    <fill>
      <patternFill patternType="solid">
        <fgColor rgb="FFF2BBBB"/>
        <bgColor indexed="64"/>
      </patternFill>
    </fill>
    <fill>
      <patternFill patternType="solid">
        <fgColor rgb="FFF0AAAA"/>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theme="0"/>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style="hair">
        <color auto="1"/>
      </left>
      <right/>
      <top/>
      <bottom style="hair">
        <color auto="1"/>
      </bottom>
      <diagonal/>
    </border>
    <border>
      <left style="hair">
        <color auto="1"/>
      </left>
      <right style="hair">
        <color indexed="64"/>
      </right>
      <top style="hair">
        <color auto="1"/>
      </top>
      <bottom/>
      <diagonal/>
    </border>
    <border>
      <left/>
      <right style="thin">
        <color indexed="64"/>
      </right>
      <top style="hair">
        <color auto="1"/>
      </top>
      <bottom/>
      <diagonal/>
    </border>
    <border>
      <left/>
      <right style="thin">
        <color indexed="64"/>
      </right>
      <top/>
      <bottom style="hair">
        <color auto="1"/>
      </bottom>
      <diagonal/>
    </border>
    <border>
      <left style="hair">
        <color auto="1"/>
      </left>
      <right style="thin">
        <color indexed="64"/>
      </right>
      <top style="hair">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auto="1"/>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diagonal/>
    </border>
    <border>
      <left style="hair">
        <color rgb="FF000000"/>
      </left>
      <right style="hair">
        <color rgb="FF000000"/>
      </right>
      <top/>
      <bottom/>
      <diagonal/>
    </border>
    <border>
      <left style="hair">
        <color rgb="FF000000"/>
      </left>
      <right style="hair">
        <color rgb="FF000000"/>
      </right>
      <top/>
      <bottom style="thin">
        <color indexed="64"/>
      </bottom>
      <diagonal/>
    </border>
    <border>
      <left style="hair">
        <color rgb="FF000000"/>
      </left>
      <right style="hair">
        <color rgb="FF000000"/>
      </right>
      <top style="thin">
        <color indexed="64"/>
      </top>
      <bottom/>
      <diagonal/>
    </border>
    <border>
      <left style="hair">
        <color rgb="FF000000"/>
      </left>
      <right style="thin">
        <color rgb="FF000000"/>
      </right>
      <top style="thin">
        <color auto="1"/>
      </top>
      <bottom/>
      <diagonal/>
    </border>
    <border>
      <left style="hair">
        <color rgb="FF000000"/>
      </left>
      <right style="thin">
        <color rgb="FF000000"/>
      </right>
      <top/>
      <bottom style="thin">
        <color auto="1"/>
      </bottom>
      <diagonal/>
    </border>
    <border>
      <left style="hair">
        <color rgb="FF000000"/>
      </left>
      <right/>
      <top style="thin">
        <color indexed="64"/>
      </top>
      <bottom/>
      <diagonal/>
    </border>
    <border>
      <left style="hair">
        <color rgb="FF000000"/>
      </left>
      <right/>
      <top/>
      <bottom style="thin">
        <color indexed="64"/>
      </bottom>
      <diagonal/>
    </border>
    <border>
      <left style="thin">
        <color indexed="64"/>
      </left>
      <right style="hair">
        <color rgb="FF000000"/>
      </right>
      <top style="thin">
        <color indexed="64"/>
      </top>
      <bottom/>
      <diagonal/>
    </border>
    <border>
      <left style="thin">
        <color indexed="64"/>
      </left>
      <right style="hair">
        <color rgb="FF000000"/>
      </right>
      <top/>
      <bottom style="thin">
        <color indexed="64"/>
      </bottom>
      <diagonal/>
    </border>
    <border>
      <left style="hair">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bottom style="thin">
        <color rgb="FF000000"/>
      </bottom>
      <diagonal/>
    </border>
    <border>
      <left style="hair">
        <color indexed="64"/>
      </left>
      <right style="thin">
        <color rgb="FF000000"/>
      </right>
      <top style="thin">
        <color rgb="FF000000"/>
      </top>
      <bottom/>
      <diagonal/>
    </border>
    <border>
      <left style="hair">
        <color indexed="64"/>
      </left>
      <right style="thin">
        <color rgb="FF000000"/>
      </right>
      <top/>
      <bottom/>
      <diagonal/>
    </border>
    <border>
      <left style="hair">
        <color indexed="64"/>
      </left>
      <right style="thin">
        <color rgb="FF000000"/>
      </right>
      <top/>
      <bottom style="thin">
        <color rgb="FF000000"/>
      </bottom>
      <diagonal/>
    </border>
    <border>
      <left style="dotted">
        <color rgb="FF000000"/>
      </left>
      <right style="thin">
        <color rgb="FF000000"/>
      </right>
      <top/>
      <bottom/>
      <diagonal/>
    </border>
    <border>
      <left/>
      <right style="thin">
        <color rgb="FF000000"/>
      </right>
      <top style="thin">
        <color auto="1"/>
      </top>
      <bottom/>
      <diagonal/>
    </border>
    <border>
      <left style="dotted">
        <color rgb="FF000000"/>
      </left>
      <right style="hair">
        <color auto="1"/>
      </right>
      <top style="thin">
        <color auto="1"/>
      </top>
      <bottom/>
      <diagonal/>
    </border>
    <border>
      <left style="dotted">
        <color rgb="FF000000"/>
      </left>
      <right style="hair">
        <color auto="1"/>
      </right>
      <top/>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671">
    <xf numFmtId="0" fontId="0" fillId="0" borderId="0" xfId="0"/>
    <xf numFmtId="0" fontId="1" fillId="0" borderId="0" xfId="0" applyFont="1"/>
    <xf numFmtId="0" fontId="2" fillId="2" borderId="0" xfId="0" applyFont="1" applyFill="1"/>
    <xf numFmtId="0" fontId="1" fillId="0" borderId="0" xfId="0" applyFont="1" applyAlignment="1">
      <alignment vertical="center" wrapText="1"/>
    </xf>
    <xf numFmtId="0" fontId="2" fillId="2" borderId="0" xfId="0" applyFont="1" applyFill="1" applyAlignment="1">
      <alignment vertical="center"/>
    </xf>
    <xf numFmtId="0" fontId="1" fillId="0" borderId="0" xfId="0" applyFont="1" applyAlignment="1">
      <alignment vertical="center"/>
    </xf>
    <xf numFmtId="0" fontId="4" fillId="2" borderId="1" xfId="0" applyFont="1" applyFill="1" applyBorder="1"/>
    <xf numFmtId="0" fontId="1" fillId="2" borderId="2" xfId="0" applyFont="1" applyFill="1" applyBorder="1"/>
    <xf numFmtId="0" fontId="1" fillId="2" borderId="3" xfId="0" applyFont="1" applyFill="1" applyBorder="1"/>
    <xf numFmtId="0" fontId="4" fillId="2" borderId="2" xfId="0" applyFont="1" applyFill="1" applyBorder="1"/>
    <xf numFmtId="0" fontId="5" fillId="0" borderId="4" xfId="0" applyFont="1" applyBorder="1" applyAlignment="1">
      <alignment horizontal="center"/>
    </xf>
    <xf numFmtId="0" fontId="1" fillId="0" borderId="5" xfId="0" applyFont="1" applyBorder="1" applyAlignment="1">
      <alignment horizontal="left" indent="1"/>
    </xf>
    <xf numFmtId="0" fontId="1" fillId="0" borderId="7" xfId="0" applyFont="1" applyBorder="1"/>
    <xf numFmtId="0" fontId="1" fillId="0" borderId="8" xfId="0" applyFont="1" applyBorder="1" applyAlignment="1">
      <alignment horizontal="left" indent="1"/>
    </xf>
    <xf numFmtId="0" fontId="1" fillId="0" borderId="10" xfId="0" applyFont="1" applyBorder="1"/>
    <xf numFmtId="0" fontId="1" fillId="0" borderId="11" xfId="0" applyFont="1" applyBorder="1" applyAlignment="1">
      <alignment horizontal="left" indent="1"/>
    </xf>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4" fillId="2" borderId="4" xfId="0" applyFont="1" applyFill="1" applyBorder="1" applyAlignment="1">
      <alignment horizontal="right"/>
    </xf>
    <xf numFmtId="0" fontId="1" fillId="0" borderId="22" xfId="0" applyFont="1" applyBorder="1" applyAlignment="1">
      <alignment horizontal="left" vertical="center" indent="1"/>
    </xf>
    <xf numFmtId="0" fontId="1" fillId="0" borderId="23" xfId="0" applyFont="1" applyBorder="1" applyAlignment="1">
      <alignment vertical="center"/>
    </xf>
    <xf numFmtId="0" fontId="1" fillId="0" borderId="13"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0" xfId="0" applyFont="1" applyBorder="1" applyAlignment="1">
      <alignment vertical="center"/>
    </xf>
    <xf numFmtId="0" fontId="1" fillId="0" borderId="28" xfId="0" applyFont="1" applyBorder="1" applyAlignment="1">
      <alignment vertical="center"/>
    </xf>
    <xf numFmtId="0" fontId="1" fillId="0" borderId="17" xfId="0"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1" fillId="0" borderId="9" xfId="0" applyFont="1" applyBorder="1" applyAlignment="1">
      <alignment vertical="center"/>
    </xf>
    <xf numFmtId="0" fontId="1" fillId="0" borderId="11" xfId="0" applyFont="1" applyBorder="1" applyAlignment="1">
      <alignment horizontal="left" vertical="center" indent="2"/>
    </xf>
    <xf numFmtId="0" fontId="1" fillId="0" borderId="16" xfId="0" applyFont="1" applyBorder="1" applyAlignment="1">
      <alignment vertical="center"/>
    </xf>
    <xf numFmtId="0" fontId="8" fillId="0" borderId="27"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4" fillId="0" borderId="22" xfId="0" applyFont="1" applyBorder="1" applyAlignment="1">
      <alignment horizontal="left" vertical="center" indent="2"/>
    </xf>
    <xf numFmtId="0" fontId="4" fillId="0" borderId="26" xfId="0" applyFont="1" applyBorder="1" applyAlignment="1">
      <alignment vertical="center"/>
    </xf>
    <xf numFmtId="0" fontId="4" fillId="0" borderId="6" xfId="0" applyFont="1" applyBorder="1" applyAlignment="1">
      <alignment vertical="center"/>
    </xf>
    <xf numFmtId="0" fontId="4" fillId="0" borderId="23" xfId="0" applyFont="1" applyBorder="1" applyAlignment="1">
      <alignment vertical="center"/>
    </xf>
    <xf numFmtId="0" fontId="4" fillId="3" borderId="11" xfId="0" applyFont="1" applyFill="1" applyBorder="1" applyAlignment="1">
      <alignment vertical="center"/>
    </xf>
    <xf numFmtId="0" fontId="4" fillId="3" borderId="0" xfId="0" applyFont="1" applyFill="1" applyAlignment="1">
      <alignment vertical="center"/>
    </xf>
    <xf numFmtId="0" fontId="4" fillId="3" borderId="27"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0" borderId="1" xfId="0" applyFont="1" applyBorder="1" applyAlignment="1">
      <alignment horizontal="left" vertical="center" indent="2"/>
    </xf>
    <xf numFmtId="0" fontId="4" fillId="0" borderId="2" xfId="0" applyFont="1" applyBorder="1" applyAlignment="1">
      <alignment vertical="center"/>
    </xf>
    <xf numFmtId="0" fontId="4" fillId="0" borderId="31" xfId="0" applyFont="1" applyBorder="1" applyAlignment="1">
      <alignment vertical="center"/>
    </xf>
    <xf numFmtId="0" fontId="4" fillId="0" borderId="22" xfId="0" applyFont="1" applyBorder="1" applyAlignment="1">
      <alignment horizontal="left" vertical="center" indent="3"/>
    </xf>
    <xf numFmtId="0" fontId="4" fillId="0" borderId="11" xfId="0" applyFont="1" applyBorder="1" applyAlignment="1">
      <alignment horizontal="left" vertical="center" indent="1"/>
    </xf>
    <xf numFmtId="0" fontId="4" fillId="0" borderId="0" xfId="0" applyFont="1" applyAlignment="1">
      <alignment vertical="center"/>
    </xf>
    <xf numFmtId="0" fontId="4" fillId="0" borderId="27" xfId="0" applyFont="1" applyBorder="1" applyAlignment="1">
      <alignment vertical="center"/>
    </xf>
    <xf numFmtId="0" fontId="4" fillId="0" borderId="1" xfId="0" applyFont="1" applyBorder="1" applyAlignment="1">
      <alignment horizontal="left" vertical="center" indent="1"/>
    </xf>
    <xf numFmtId="0" fontId="4" fillId="2" borderId="1" xfId="0" applyFont="1" applyFill="1" applyBorder="1" applyAlignment="1">
      <alignment horizontal="left" vertical="center" indent="1"/>
    </xf>
    <xf numFmtId="0" fontId="4" fillId="2" borderId="31" xfId="0" applyFont="1" applyFill="1" applyBorder="1" applyAlignment="1">
      <alignment vertical="center"/>
    </xf>
    <xf numFmtId="0" fontId="9" fillId="0" borderId="0" xfId="0" applyFont="1" applyAlignment="1">
      <alignment vertical="center"/>
    </xf>
    <xf numFmtId="0" fontId="4" fillId="2" borderId="4" xfId="0" applyFont="1" applyFill="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0" xfId="0" applyFont="1" applyBorder="1" applyAlignment="1">
      <alignment horizontal="center" vertical="center"/>
    </xf>
    <xf numFmtId="14" fontId="1" fillId="0" borderId="10" xfId="0" applyNumberFormat="1" applyFont="1" applyBorder="1" applyAlignment="1">
      <alignment horizontal="center" vertical="center"/>
    </xf>
    <xf numFmtId="166" fontId="7" fillId="0" borderId="10" xfId="3" applyNumberFormat="1" applyFont="1" applyBorder="1" applyAlignment="1">
      <alignment vertical="center"/>
    </xf>
    <xf numFmtId="167" fontId="1" fillId="0" borderId="10" xfId="3" applyNumberFormat="1" applyFont="1" applyBorder="1" applyAlignment="1">
      <alignment vertical="center"/>
    </xf>
    <xf numFmtId="167" fontId="1" fillId="0" borderId="17" xfId="3" applyNumberFormat="1" applyFont="1" applyBorder="1" applyAlignment="1">
      <alignment vertical="center"/>
    </xf>
    <xf numFmtId="9" fontId="1" fillId="0" borderId="0" xfId="2" applyFont="1" applyAlignment="1">
      <alignment horizontal="center"/>
    </xf>
    <xf numFmtId="0" fontId="1" fillId="0" borderId="0" xfId="0" applyFont="1" applyAlignment="1">
      <alignment horizontal="center"/>
    </xf>
    <xf numFmtId="0" fontId="10" fillId="0" borderId="0" xfId="0" applyFont="1" applyAlignment="1">
      <alignment horizontal="center"/>
    </xf>
    <xf numFmtId="165" fontId="9" fillId="0" borderId="9" xfId="0" applyNumberFormat="1" applyFont="1" applyBorder="1" applyAlignment="1">
      <alignment horizontal="right" vertical="center"/>
    </xf>
    <xf numFmtId="165" fontId="9" fillId="0" borderId="16" xfId="0" applyNumberFormat="1" applyFont="1" applyBorder="1" applyAlignment="1">
      <alignment horizontal="right" vertical="center"/>
    </xf>
    <xf numFmtId="0" fontId="1" fillId="0" borderId="28" xfId="0" applyFont="1" applyBorder="1"/>
    <xf numFmtId="0" fontId="4" fillId="3" borderId="4" xfId="0" applyFont="1" applyFill="1" applyBorder="1" applyAlignment="1">
      <alignment horizontal="center"/>
    </xf>
    <xf numFmtId="165" fontId="1" fillId="0" borderId="9" xfId="0" applyNumberFormat="1" applyFont="1" applyBorder="1" applyAlignment="1">
      <alignment vertical="center"/>
    </xf>
    <xf numFmtId="0" fontId="4" fillId="2" borderId="3" xfId="0" applyFont="1" applyFill="1" applyBorder="1"/>
    <xf numFmtId="0" fontId="4" fillId="2" borderId="4" xfId="0" applyFont="1" applyFill="1" applyBorder="1" applyAlignment="1">
      <alignment horizontal="right" vertical="center"/>
    </xf>
    <xf numFmtId="165" fontId="4" fillId="0" borderId="5" xfId="0" applyNumberFormat="1" applyFont="1" applyBorder="1" applyAlignment="1">
      <alignment vertical="center"/>
    </xf>
    <xf numFmtId="167" fontId="4" fillId="0" borderId="7" xfId="0" applyNumberFormat="1" applyFont="1" applyBorder="1" applyAlignment="1">
      <alignment vertical="center"/>
    </xf>
    <xf numFmtId="167" fontId="4" fillId="0" borderId="6" xfId="0" applyNumberFormat="1" applyFont="1" applyBorder="1" applyAlignment="1">
      <alignment vertical="center"/>
    </xf>
    <xf numFmtId="165" fontId="4" fillId="0" borderId="6" xfId="0" applyNumberFormat="1" applyFont="1" applyBorder="1" applyAlignment="1">
      <alignment vertical="center"/>
    </xf>
    <xf numFmtId="168" fontId="4" fillId="0" borderId="26" xfId="0" applyNumberFormat="1" applyFont="1" applyBorder="1" applyAlignment="1">
      <alignment horizontal="center" vertical="center"/>
    </xf>
    <xf numFmtId="165" fontId="1" fillId="0" borderId="8" xfId="0" applyNumberFormat="1" applyFont="1" applyBorder="1" applyAlignment="1">
      <alignment vertical="center"/>
    </xf>
    <xf numFmtId="165" fontId="1" fillId="0" borderId="15" xfId="0" applyNumberFormat="1" applyFont="1" applyBorder="1" applyAlignment="1">
      <alignment vertical="center"/>
    </xf>
    <xf numFmtId="167" fontId="1" fillId="0" borderId="30" xfId="3" applyNumberFormat="1" applyFont="1" applyBorder="1" applyAlignment="1">
      <alignment vertical="center"/>
    </xf>
    <xf numFmtId="167" fontId="1" fillId="0" borderId="18" xfId="3" applyNumberFormat="1" applyFont="1" applyBorder="1" applyAlignment="1">
      <alignment vertical="center"/>
    </xf>
    <xf numFmtId="167" fontId="4" fillId="0" borderId="29" xfId="0" applyNumberFormat="1" applyFont="1" applyBorder="1" applyAlignment="1">
      <alignment vertical="center"/>
    </xf>
    <xf numFmtId="165" fontId="1" fillId="0" borderId="10" xfId="0" applyNumberFormat="1" applyFont="1" applyBorder="1" applyAlignment="1">
      <alignment vertical="center"/>
    </xf>
    <xf numFmtId="165" fontId="4" fillId="0" borderId="7" xfId="0" applyNumberFormat="1" applyFont="1" applyBorder="1" applyAlignment="1">
      <alignment vertical="center"/>
    </xf>
    <xf numFmtId="166" fontId="1" fillId="0" borderId="10" xfId="0" applyNumberFormat="1" applyFont="1" applyBorder="1" applyAlignment="1">
      <alignment vertical="center"/>
    </xf>
    <xf numFmtId="9" fontId="1" fillId="0" borderId="10" xfId="2" applyFont="1" applyBorder="1" applyAlignment="1">
      <alignment horizontal="center" vertical="center"/>
    </xf>
    <xf numFmtId="167" fontId="1" fillId="0" borderId="9" xfId="0" applyNumberFormat="1" applyFont="1" applyBorder="1" applyAlignment="1">
      <alignment vertical="center"/>
    </xf>
    <xf numFmtId="0" fontId="1" fillId="3" borderId="21" xfId="0" applyFont="1"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165" fontId="1" fillId="0" borderId="27" xfId="0" applyNumberFormat="1" applyFont="1" applyBorder="1" applyAlignment="1">
      <alignment vertical="center"/>
    </xf>
    <xf numFmtId="165" fontId="4" fillId="0" borderId="26" xfId="0" applyNumberFormat="1" applyFont="1" applyBorder="1" applyAlignment="1">
      <alignment vertical="center"/>
    </xf>
    <xf numFmtId="165" fontId="4" fillId="3" borderId="19" xfId="0" applyNumberFormat="1" applyFont="1" applyFill="1" applyBorder="1" applyAlignment="1">
      <alignment vertical="center"/>
    </xf>
    <xf numFmtId="0" fontId="1" fillId="3" borderId="25" xfId="0" applyFont="1" applyFill="1" applyBorder="1" applyAlignment="1">
      <alignment vertical="center"/>
    </xf>
    <xf numFmtId="165" fontId="1" fillId="3" borderId="20" xfId="3" applyNumberFormat="1" applyFont="1" applyFill="1" applyBorder="1" applyAlignment="1">
      <alignment vertical="center"/>
    </xf>
    <xf numFmtId="0" fontId="1" fillId="0" borderId="35" xfId="0" applyFont="1" applyBorder="1" applyAlignment="1">
      <alignment vertical="center"/>
    </xf>
    <xf numFmtId="0" fontId="1" fillId="0" borderId="3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horizontal="left" vertical="center" indent="1"/>
    </xf>
    <xf numFmtId="0" fontId="1" fillId="0" borderId="37" xfId="0" applyFont="1" applyBorder="1" applyAlignment="1">
      <alignment vertical="center"/>
    </xf>
    <xf numFmtId="0" fontId="1" fillId="0" borderId="42" xfId="0" applyFont="1" applyBorder="1" applyAlignment="1">
      <alignment vertical="center"/>
    </xf>
    <xf numFmtId="167" fontId="4" fillId="3" borderId="9" xfId="0" applyNumberFormat="1" applyFont="1" applyFill="1" applyBorder="1" applyAlignment="1">
      <alignment vertical="center"/>
    </xf>
    <xf numFmtId="167" fontId="4" fillId="0" borderId="32" xfId="0" applyNumberFormat="1" applyFont="1" applyBorder="1" applyAlignment="1">
      <alignment vertical="center"/>
    </xf>
    <xf numFmtId="167" fontId="4" fillId="0" borderId="9" xfId="0" applyNumberFormat="1" applyFont="1" applyBorder="1" applyAlignment="1">
      <alignment vertical="center"/>
    </xf>
    <xf numFmtId="167" fontId="4" fillId="2" borderId="32" xfId="0" applyNumberFormat="1" applyFont="1" applyFill="1" applyBorder="1" applyAlignment="1">
      <alignment vertical="center"/>
    </xf>
    <xf numFmtId="167" fontId="1" fillId="0" borderId="16" xfId="0" applyNumberFormat="1" applyFont="1" applyBorder="1" applyAlignment="1">
      <alignment vertical="center"/>
    </xf>
    <xf numFmtId="165" fontId="4" fillId="3" borderId="9" xfId="0" applyNumberFormat="1" applyFont="1" applyFill="1" applyBorder="1" applyAlignment="1">
      <alignment vertical="center"/>
    </xf>
    <xf numFmtId="165" fontId="4" fillId="0" borderId="32" xfId="0" applyNumberFormat="1" applyFont="1" applyBorder="1" applyAlignment="1">
      <alignment vertical="center"/>
    </xf>
    <xf numFmtId="165" fontId="4" fillId="0" borderId="9" xfId="0" applyNumberFormat="1" applyFont="1" applyBorder="1" applyAlignment="1">
      <alignment vertical="center"/>
    </xf>
    <xf numFmtId="165" fontId="4" fillId="2" borderId="32" xfId="0" applyNumberFormat="1" applyFont="1" applyFill="1" applyBorder="1" applyAlignment="1">
      <alignment vertical="center"/>
    </xf>
    <xf numFmtId="165" fontId="1" fillId="0" borderId="16" xfId="0" applyNumberFormat="1" applyFont="1" applyBorder="1" applyAlignment="1">
      <alignment vertical="center"/>
    </xf>
    <xf numFmtId="167" fontId="4" fillId="3" borderId="6" xfId="0" applyNumberFormat="1" applyFont="1" applyFill="1" applyBorder="1" applyAlignment="1">
      <alignment vertical="center"/>
    </xf>
    <xf numFmtId="167" fontId="4" fillId="3" borderId="7" xfId="0" applyNumberFormat="1" applyFont="1" applyFill="1" applyBorder="1" applyAlignment="1">
      <alignment vertical="center"/>
    </xf>
    <xf numFmtId="169" fontId="1" fillId="0" borderId="10" xfId="2" applyNumberFormat="1" applyFont="1" applyBorder="1" applyAlignment="1">
      <alignment vertical="center"/>
    </xf>
    <xf numFmtId="169" fontId="4" fillId="0" borderId="33" xfId="2" applyNumberFormat="1" applyFont="1" applyBorder="1" applyAlignment="1">
      <alignment vertical="center"/>
    </xf>
    <xf numFmtId="169" fontId="4" fillId="3" borderId="10" xfId="2" applyNumberFormat="1" applyFont="1" applyFill="1" applyBorder="1" applyAlignment="1">
      <alignment vertical="center"/>
    </xf>
    <xf numFmtId="169" fontId="4" fillId="0" borderId="7" xfId="2" applyNumberFormat="1" applyFont="1" applyBorder="1" applyAlignment="1">
      <alignment vertical="center"/>
    </xf>
    <xf numFmtId="169" fontId="4" fillId="0" borderId="10" xfId="2" applyNumberFormat="1" applyFont="1" applyBorder="1" applyAlignment="1">
      <alignment vertical="center"/>
    </xf>
    <xf numFmtId="169" fontId="4" fillId="2" borderId="33" xfId="2" applyNumberFormat="1" applyFont="1" applyFill="1" applyBorder="1" applyAlignment="1">
      <alignment vertical="center"/>
    </xf>
    <xf numFmtId="169" fontId="1" fillId="0" borderId="17" xfId="2" applyNumberFormat="1" applyFont="1" applyBorder="1" applyAlignment="1">
      <alignment vertical="center"/>
    </xf>
    <xf numFmtId="165" fontId="7" fillId="0" borderId="9" xfId="0" applyNumberFormat="1" applyFont="1" applyBorder="1" applyAlignment="1">
      <alignment vertical="center"/>
    </xf>
    <xf numFmtId="165" fontId="6" fillId="0" borderId="9" xfId="0" applyNumberFormat="1" applyFont="1" applyBorder="1" applyAlignment="1">
      <alignment vertical="center"/>
    </xf>
    <xf numFmtId="0" fontId="4" fillId="3" borderId="26" xfId="0" applyFont="1" applyFill="1" applyBorder="1" applyAlignment="1">
      <alignment vertical="center"/>
    </xf>
    <xf numFmtId="0" fontId="10" fillId="3" borderId="6"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165" fontId="4" fillId="3" borderId="26" xfId="0" applyNumberFormat="1" applyFont="1" applyFill="1" applyBorder="1" applyAlignment="1">
      <alignment vertical="center"/>
    </xf>
    <xf numFmtId="165" fontId="4" fillId="3" borderId="6" xfId="0" applyNumberFormat="1" applyFont="1" applyFill="1" applyBorder="1" applyAlignment="1">
      <alignment vertical="center"/>
    </xf>
    <xf numFmtId="165" fontId="4" fillId="3" borderId="27" xfId="0" applyNumberFormat="1" applyFont="1" applyFill="1" applyBorder="1" applyAlignment="1">
      <alignment vertical="center"/>
    </xf>
    <xf numFmtId="165" fontId="1" fillId="0" borderId="28" xfId="0" applyNumberFormat="1" applyFont="1" applyBorder="1" applyAlignment="1">
      <alignment vertical="center"/>
    </xf>
    <xf numFmtId="9" fontId="4" fillId="3" borderId="7" xfId="2" applyFont="1" applyFill="1" applyBorder="1" applyAlignment="1">
      <alignment vertical="center"/>
    </xf>
    <xf numFmtId="0" fontId="7" fillId="2" borderId="8" xfId="0" applyFont="1" applyFill="1" applyBorder="1" applyAlignment="1">
      <alignment horizontal="left" vertical="center" indent="1"/>
    </xf>
    <xf numFmtId="0" fontId="7" fillId="2" borderId="9" xfId="0" applyFont="1" applyFill="1" applyBorder="1" applyAlignment="1">
      <alignment horizontal="left" vertical="center" indent="1"/>
    </xf>
    <xf numFmtId="0" fontId="1" fillId="2" borderId="10" xfId="0" applyFont="1" applyFill="1" applyBorder="1" applyAlignment="1">
      <alignment vertical="center"/>
    </xf>
    <xf numFmtId="0" fontId="1" fillId="2" borderId="8" xfId="0" applyFont="1" applyFill="1" applyBorder="1" applyAlignment="1">
      <alignment horizontal="left" vertical="center" indent="1"/>
    </xf>
    <xf numFmtId="0" fontId="1" fillId="2" borderId="9" xfId="0" applyFont="1" applyFill="1" applyBorder="1" applyAlignment="1">
      <alignment horizontal="left" vertical="center" indent="1"/>
    </xf>
    <xf numFmtId="0" fontId="1" fillId="2" borderId="8" xfId="0" applyFont="1" applyFill="1" applyBorder="1" applyAlignment="1">
      <alignment vertical="center"/>
    </xf>
    <xf numFmtId="0" fontId="1" fillId="2" borderId="9"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1" fillId="2" borderId="17" xfId="0" applyFont="1" applyFill="1" applyBorder="1" applyAlignment="1">
      <alignment vertical="center"/>
    </xf>
    <xf numFmtId="0" fontId="4" fillId="0" borderId="43" xfId="0" applyFont="1" applyBorder="1" applyAlignment="1">
      <alignment vertical="center"/>
    </xf>
    <xf numFmtId="169" fontId="4" fillId="3" borderId="7" xfId="2" applyNumberFormat="1" applyFont="1" applyFill="1" applyBorder="1" applyAlignment="1">
      <alignment vertical="center"/>
    </xf>
    <xf numFmtId="0" fontId="4" fillId="0" borderId="44" xfId="0" applyFont="1" applyBorder="1" applyAlignment="1">
      <alignment horizontal="left" vertical="center" indent="1"/>
    </xf>
    <xf numFmtId="0" fontId="4" fillId="0" borderId="45" xfId="0" applyFont="1" applyBorder="1" applyAlignment="1">
      <alignment vertical="center"/>
    </xf>
    <xf numFmtId="169" fontId="4" fillId="0" borderId="47" xfId="2" applyNumberFormat="1" applyFont="1" applyBorder="1" applyAlignment="1">
      <alignment vertical="center"/>
    </xf>
    <xf numFmtId="165" fontId="4" fillId="0" borderId="46" xfId="0" applyNumberFormat="1" applyFont="1" applyBorder="1" applyAlignment="1">
      <alignment vertical="center"/>
    </xf>
    <xf numFmtId="167" fontId="4" fillId="0" borderId="46" xfId="3" applyNumberFormat="1" applyFont="1" applyBorder="1" applyAlignment="1">
      <alignment vertical="center"/>
    </xf>
    <xf numFmtId="10" fontId="1" fillId="0" borderId="0" xfId="0" applyNumberFormat="1" applyFont="1" applyAlignment="1">
      <alignment horizontal="center"/>
    </xf>
    <xf numFmtId="0" fontId="6" fillId="0" borderId="9" xfId="0" applyFont="1" applyBorder="1" applyAlignment="1">
      <alignment horizontal="center" vertical="center"/>
    </xf>
    <xf numFmtId="169" fontId="6" fillId="0" borderId="9" xfId="0" applyNumberFormat="1" applyFont="1" applyBorder="1" applyAlignment="1">
      <alignment horizontal="center" vertical="center"/>
    </xf>
    <xf numFmtId="0" fontId="8" fillId="0" borderId="11" xfId="0" applyFont="1" applyBorder="1" applyAlignment="1">
      <alignment horizontal="left" vertical="center" indent="3"/>
    </xf>
    <xf numFmtId="0" fontId="1" fillId="0" borderId="26" xfId="0" applyFont="1" applyBorder="1"/>
    <xf numFmtId="0" fontId="1" fillId="0" borderId="27" xfId="0" applyFont="1" applyBorder="1"/>
    <xf numFmtId="0" fontId="1" fillId="0" borderId="22" xfId="0" applyFont="1" applyBorder="1" applyAlignment="1">
      <alignment horizontal="left" indent="1"/>
    </xf>
    <xf numFmtId="0" fontId="1" fillId="0" borderId="23" xfId="0" applyFont="1" applyBorder="1"/>
    <xf numFmtId="10" fontId="6" fillId="0" borderId="7" xfId="2" applyNumberFormat="1" applyFont="1" applyBorder="1" applyAlignment="1">
      <alignment horizontal="center"/>
    </xf>
    <xf numFmtId="10" fontId="6" fillId="0" borderId="10" xfId="2" applyNumberFormat="1" applyFont="1" applyBorder="1" applyAlignment="1">
      <alignment horizontal="center"/>
    </xf>
    <xf numFmtId="0" fontId="1" fillId="0" borderId="25" xfId="0" applyFont="1" applyBorder="1"/>
    <xf numFmtId="0" fontId="4" fillId="0" borderId="22" xfId="0" applyFont="1" applyBorder="1" applyAlignment="1">
      <alignment horizontal="left" indent="2"/>
    </xf>
    <xf numFmtId="0" fontId="4" fillId="0" borderId="23" xfId="0" applyFont="1" applyBorder="1"/>
    <xf numFmtId="165" fontId="8" fillId="0" borderId="9" xfId="0" applyNumberFormat="1" applyFont="1" applyBorder="1" applyAlignment="1">
      <alignment vertical="center"/>
    </xf>
    <xf numFmtId="165" fontId="8" fillId="0" borderId="10" xfId="0" applyNumberFormat="1" applyFont="1" applyBorder="1" applyAlignment="1">
      <alignment vertical="center"/>
    </xf>
    <xf numFmtId="10" fontId="9" fillId="0" borderId="10" xfId="0" applyNumberFormat="1" applyFont="1" applyBorder="1" applyAlignment="1">
      <alignment horizontal="center"/>
    </xf>
    <xf numFmtId="0" fontId="8" fillId="0" borderId="13" xfId="0" applyFont="1" applyBorder="1" applyAlignment="1">
      <alignment horizontal="left" vertical="center" indent="3"/>
    </xf>
    <xf numFmtId="0" fontId="8" fillId="0" borderId="28" xfId="0" applyFont="1" applyBorder="1" applyAlignment="1">
      <alignment vertical="center"/>
    </xf>
    <xf numFmtId="167" fontId="8" fillId="0" borderId="16" xfId="0" applyNumberFormat="1" applyFont="1" applyBorder="1" applyAlignment="1">
      <alignment vertical="center"/>
    </xf>
    <xf numFmtId="167" fontId="8" fillId="0" borderId="17" xfId="0" applyNumberFormat="1" applyFont="1" applyBorder="1" applyAlignment="1">
      <alignment vertical="center"/>
    </xf>
    <xf numFmtId="165" fontId="6" fillId="0" borderId="27" xfId="0" applyNumberFormat="1" applyFont="1" applyBorder="1" applyAlignment="1">
      <alignment vertical="center"/>
    </xf>
    <xf numFmtId="43" fontId="8" fillId="0" borderId="9" xfId="3" applyFont="1" applyBorder="1" applyAlignment="1">
      <alignment vertical="center"/>
    </xf>
    <xf numFmtId="0" fontId="2" fillId="2" borderId="0" xfId="0" applyFont="1" applyFill="1" applyAlignment="1">
      <alignment horizontal="center"/>
    </xf>
    <xf numFmtId="0" fontId="1" fillId="0" borderId="13" xfId="0" applyFont="1" applyBorder="1" applyAlignment="1">
      <alignment horizontal="left" vertical="center" indent="1"/>
    </xf>
    <xf numFmtId="0" fontId="7" fillId="5" borderId="11" xfId="0" applyFont="1" applyFill="1" applyBorder="1" applyAlignment="1">
      <alignment horizontal="left" vertical="center" indent="1"/>
    </xf>
    <xf numFmtId="0" fontId="1" fillId="5" borderId="27" xfId="0" applyFont="1" applyFill="1" applyBorder="1" applyAlignment="1">
      <alignment vertical="center"/>
    </xf>
    <xf numFmtId="0" fontId="7" fillId="5" borderId="9" xfId="0" applyFont="1" applyFill="1" applyBorder="1" applyAlignment="1">
      <alignment horizontal="center" vertical="center"/>
    </xf>
    <xf numFmtId="166" fontId="7" fillId="5" borderId="9" xfId="3" applyNumberFormat="1" applyFont="1" applyFill="1" applyBorder="1" applyAlignment="1">
      <alignment vertical="center"/>
    </xf>
    <xf numFmtId="0" fontId="7" fillId="5" borderId="16" xfId="0" applyFont="1" applyFill="1" applyBorder="1" applyAlignment="1">
      <alignment horizontal="center" vertical="center"/>
    </xf>
    <xf numFmtId="165" fontId="7" fillId="5" borderId="8" xfId="0" applyNumberFormat="1" applyFont="1" applyFill="1" applyBorder="1" applyAlignment="1">
      <alignment vertical="center"/>
    </xf>
    <xf numFmtId="0" fontId="1" fillId="5" borderId="34"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10" xfId="0" applyFont="1" applyFill="1" applyBorder="1" applyAlignment="1">
      <alignment horizontal="center" vertical="center"/>
    </xf>
    <xf numFmtId="14" fontId="7" fillId="5" borderId="10" xfId="0" applyNumberFormat="1" applyFont="1" applyFill="1" applyBorder="1" applyAlignment="1">
      <alignment horizontal="center" vertical="center"/>
    </xf>
    <xf numFmtId="1" fontId="7" fillId="5" borderId="10" xfId="3" applyNumberFormat="1" applyFont="1" applyFill="1" applyBorder="1" applyAlignment="1">
      <alignment horizontal="center" vertical="center"/>
    </xf>
    <xf numFmtId="166" fontId="7" fillId="5" borderId="10" xfId="3" applyNumberFormat="1" applyFont="1" applyFill="1" applyBorder="1" applyAlignment="1">
      <alignment vertical="center"/>
    </xf>
    <xf numFmtId="170" fontId="7" fillId="5" borderId="9" xfId="0" applyNumberFormat="1" applyFont="1" applyFill="1" applyBorder="1" applyAlignment="1">
      <alignment horizontal="center" vertical="center"/>
    </xf>
    <xf numFmtId="165" fontId="7" fillId="5" borderId="10" xfId="3" applyNumberFormat="1" applyFont="1" applyFill="1" applyBorder="1" applyAlignment="1">
      <alignment vertical="center"/>
    </xf>
    <xf numFmtId="165" fontId="7" fillId="5" borderId="9" xfId="0" applyNumberFormat="1" applyFont="1" applyFill="1" applyBorder="1" applyAlignment="1">
      <alignment vertical="center"/>
    </xf>
    <xf numFmtId="169" fontId="7" fillId="5" borderId="10" xfId="2" applyNumberFormat="1" applyFont="1" applyFill="1" applyBorder="1" applyAlignment="1">
      <alignment horizontal="center" vertical="center"/>
    </xf>
    <xf numFmtId="10" fontId="7" fillId="5" borderId="27" xfId="2" applyNumberFormat="1" applyFont="1" applyFill="1" applyBorder="1" applyAlignment="1">
      <alignment horizontal="center" vertical="center"/>
    </xf>
    <xf numFmtId="165" fontId="11" fillId="5" borderId="9" xfId="0" applyNumberFormat="1" applyFont="1" applyFill="1" applyBorder="1" applyAlignment="1">
      <alignment vertical="center"/>
    </xf>
    <xf numFmtId="0" fontId="7" fillId="5" borderId="11" xfId="0" applyFont="1" applyFill="1" applyBorder="1" applyAlignment="1">
      <alignment horizontal="left" vertical="center" indent="2"/>
    </xf>
    <xf numFmtId="0" fontId="1" fillId="5" borderId="0" xfId="0" applyFont="1" applyFill="1" applyAlignment="1">
      <alignment vertical="center"/>
    </xf>
    <xf numFmtId="0" fontId="1" fillId="5" borderId="0" xfId="0" applyFont="1" applyFill="1" applyAlignment="1">
      <alignment horizontal="left" vertical="center" indent="1"/>
    </xf>
    <xf numFmtId="0" fontId="7" fillId="5" borderId="0" xfId="0" applyFont="1" applyFill="1" applyAlignment="1">
      <alignment horizontal="left" vertical="center" indent="1"/>
    </xf>
    <xf numFmtId="0" fontId="7" fillId="5" borderId="8" xfId="0" applyFont="1" applyFill="1" applyBorder="1" applyAlignment="1">
      <alignment horizontal="center" vertical="center"/>
    </xf>
    <xf numFmtId="169" fontId="7" fillId="5" borderId="9" xfId="2" applyNumberFormat="1" applyFont="1" applyFill="1" applyBorder="1" applyAlignment="1">
      <alignment horizontal="center" vertical="center"/>
    </xf>
    <xf numFmtId="171" fontId="7" fillId="5" borderId="10" xfId="3" applyNumberFormat="1" applyFont="1" applyFill="1" applyBorder="1" applyAlignment="1">
      <alignment horizontal="center" vertical="center"/>
    </xf>
    <xf numFmtId="165" fontId="7" fillId="5" borderId="27" xfId="0" applyNumberFormat="1" applyFont="1" applyFill="1" applyBorder="1" applyAlignment="1">
      <alignment vertical="center"/>
    </xf>
    <xf numFmtId="0" fontId="7" fillId="5" borderId="0" xfId="0" applyFont="1" applyFill="1" applyAlignment="1">
      <alignment vertical="center"/>
    </xf>
    <xf numFmtId="0" fontId="7" fillId="5" borderId="27" xfId="0" applyFont="1" applyFill="1" applyBorder="1" applyAlignment="1">
      <alignment vertical="center"/>
    </xf>
    <xf numFmtId="10" fontId="7" fillId="5" borderId="27" xfId="0" applyNumberFormat="1" applyFont="1" applyFill="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0" borderId="52" xfId="0" applyFont="1" applyBorder="1" applyAlignment="1">
      <alignment vertical="center"/>
    </xf>
    <xf numFmtId="43" fontId="7" fillId="5" borderId="10" xfId="3" applyFont="1" applyFill="1" applyBorder="1" applyAlignment="1">
      <alignment vertical="center"/>
    </xf>
    <xf numFmtId="169" fontId="1" fillId="0" borderId="10" xfId="0" applyNumberFormat="1" applyFont="1" applyBorder="1" applyAlignment="1">
      <alignment horizontal="center" vertical="center"/>
    </xf>
    <xf numFmtId="169" fontId="1" fillId="0" borderId="9" xfId="2" applyNumberFormat="1" applyFont="1" applyBorder="1" applyAlignment="1">
      <alignment horizontal="center" vertical="center"/>
    </xf>
    <xf numFmtId="169" fontId="1" fillId="0" borderId="16" xfId="2" applyNumberFormat="1" applyFont="1" applyBorder="1" applyAlignment="1">
      <alignment horizontal="center" vertical="center"/>
    </xf>
    <xf numFmtId="0" fontId="1" fillId="0" borderId="31" xfId="0" applyFont="1" applyBorder="1" applyAlignment="1">
      <alignment vertical="center"/>
    </xf>
    <xf numFmtId="169" fontId="1" fillId="0" borderId="9" xfId="0" applyNumberFormat="1" applyFont="1" applyBorder="1" applyAlignment="1">
      <alignment horizontal="center" vertical="center"/>
    </xf>
    <xf numFmtId="174" fontId="4" fillId="0" borderId="4" xfId="0" applyNumberFormat="1" applyFont="1" applyBorder="1" applyAlignment="1">
      <alignment horizontal="center" vertical="center"/>
    </xf>
    <xf numFmtId="10" fontId="7" fillId="5" borderId="9" xfId="0" applyNumberFormat="1" applyFont="1" applyFill="1" applyBorder="1" applyAlignment="1">
      <alignment horizontal="center" vertical="center"/>
    </xf>
    <xf numFmtId="9" fontId="1" fillId="0" borderId="9" xfId="0" applyNumberFormat="1" applyFont="1" applyBorder="1" applyAlignment="1">
      <alignment vertical="center"/>
    </xf>
    <xf numFmtId="2" fontId="8" fillId="0" borderId="9" xfId="0" applyNumberFormat="1" applyFont="1" applyBorder="1" applyAlignment="1">
      <alignment vertical="center"/>
    </xf>
    <xf numFmtId="2" fontId="8" fillId="0" borderId="10" xfId="0" applyNumberFormat="1" applyFont="1" applyBorder="1" applyAlignment="1">
      <alignment vertical="center"/>
    </xf>
    <xf numFmtId="9" fontId="4" fillId="0" borderId="6" xfId="0" applyNumberFormat="1" applyFont="1" applyBorder="1" applyAlignment="1">
      <alignment vertical="center"/>
    </xf>
    <xf numFmtId="0" fontId="4" fillId="0" borderId="32" xfId="0" applyFont="1" applyBorder="1" applyAlignment="1">
      <alignment vertical="center"/>
    </xf>
    <xf numFmtId="165" fontId="4" fillId="0" borderId="33" xfId="0" applyNumberFormat="1" applyFont="1" applyBorder="1" applyAlignment="1">
      <alignment vertical="center"/>
    </xf>
    <xf numFmtId="0" fontId="4" fillId="0" borderId="46" xfId="0" applyFont="1" applyBorder="1" applyAlignment="1">
      <alignment vertical="center"/>
    </xf>
    <xf numFmtId="165" fontId="4" fillId="0" borderId="47" xfId="0" applyNumberFormat="1" applyFont="1" applyBorder="1" applyAlignment="1">
      <alignment vertical="center"/>
    </xf>
    <xf numFmtId="169" fontId="6" fillId="0" borderId="10" xfId="0" applyNumberFormat="1" applyFont="1" applyBorder="1" applyAlignment="1">
      <alignment horizontal="center" vertical="center"/>
    </xf>
    <xf numFmtId="0" fontId="4" fillId="3" borderId="9" xfId="0" applyFont="1" applyFill="1" applyBorder="1" applyAlignment="1">
      <alignment horizontal="center" vertical="center"/>
    </xf>
    <xf numFmtId="0" fontId="4" fillId="0" borderId="29" xfId="0" applyFont="1" applyBorder="1" applyAlignment="1">
      <alignment horizontal="left" vertical="center" indent="2"/>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7" fillId="0" borderId="0" xfId="0" applyFont="1" applyAlignment="1">
      <alignment horizontal="center" vertical="center"/>
    </xf>
    <xf numFmtId="166" fontId="7" fillId="5" borderId="30" xfId="3" applyNumberFormat="1" applyFont="1" applyFill="1" applyBorder="1" applyAlignment="1">
      <alignment horizontal="center" vertical="center"/>
    </xf>
    <xf numFmtId="173" fontId="4" fillId="0" borderId="28" xfId="0" applyNumberFormat="1" applyFont="1" applyBorder="1" applyAlignment="1">
      <alignment horizontal="center" vertical="center"/>
    </xf>
    <xf numFmtId="168" fontId="4" fillId="0" borderId="6" xfId="0" applyNumberFormat="1" applyFont="1" applyBorder="1" applyAlignment="1">
      <alignment horizontal="center" vertical="center"/>
    </xf>
    <xf numFmtId="175" fontId="4" fillId="0" borderId="16" xfId="0" applyNumberFormat="1" applyFont="1" applyBorder="1" applyAlignment="1">
      <alignment vertical="center"/>
    </xf>
    <xf numFmtId="166" fontId="7" fillId="5" borderId="30" xfId="3" applyNumberFormat="1" applyFont="1" applyFill="1" applyBorder="1" applyAlignment="1">
      <alignment vertical="center"/>
    </xf>
    <xf numFmtId="175" fontId="4" fillId="0" borderId="18" xfId="0" applyNumberFormat="1" applyFont="1" applyBorder="1" applyAlignment="1">
      <alignment vertical="center"/>
    </xf>
    <xf numFmtId="3" fontId="4" fillId="0" borderId="29" xfId="3" applyNumberFormat="1" applyFont="1" applyBorder="1" applyAlignment="1">
      <alignment vertical="center"/>
    </xf>
    <xf numFmtId="1" fontId="4" fillId="0" borderId="6" xfId="3" applyNumberFormat="1" applyFont="1" applyBorder="1" applyAlignment="1">
      <alignment vertical="center"/>
    </xf>
    <xf numFmtId="0" fontId="4" fillId="0" borderId="0" xfId="0" applyFont="1" applyAlignment="1">
      <alignment horizontal="left"/>
    </xf>
    <xf numFmtId="1" fontId="7" fillId="5" borderId="9" xfId="0" applyNumberFormat="1" applyFont="1" applyFill="1" applyBorder="1" applyAlignment="1">
      <alignment horizontal="center" vertical="center"/>
    </xf>
    <xf numFmtId="3" fontId="4" fillId="0" borderId="5" xfId="3" applyNumberFormat="1" applyFont="1" applyBorder="1" applyAlignment="1">
      <alignment vertical="center"/>
    </xf>
    <xf numFmtId="166" fontId="7" fillId="5" borderId="8" xfId="3" applyNumberFormat="1" applyFont="1" applyFill="1" applyBorder="1" applyAlignment="1">
      <alignment horizontal="center" vertical="center"/>
    </xf>
    <xf numFmtId="10" fontId="7" fillId="0" borderId="27" xfId="2" applyNumberFormat="1" applyFont="1" applyFill="1" applyBorder="1" applyAlignment="1">
      <alignment horizontal="center" vertical="center"/>
    </xf>
    <xf numFmtId="0" fontId="4" fillId="0" borderId="11" xfId="0" applyFont="1" applyBorder="1" applyAlignment="1">
      <alignment horizontal="left" vertical="center" indent="3"/>
    </xf>
    <xf numFmtId="0" fontId="1" fillId="0" borderId="11" xfId="0" applyFont="1" applyBorder="1"/>
    <xf numFmtId="0" fontId="1" fillId="0" borderId="9" xfId="0" applyFont="1" applyBorder="1"/>
    <xf numFmtId="0" fontId="1" fillId="0" borderId="13" xfId="0" applyFont="1" applyBorder="1" applyAlignment="1">
      <alignment horizontal="left" indent="2"/>
    </xf>
    <xf numFmtId="0" fontId="4" fillId="3" borderId="22" xfId="0" applyFont="1" applyFill="1" applyBorder="1"/>
    <xf numFmtId="0" fontId="4" fillId="3" borderId="23" xfId="0" applyFont="1" applyFill="1" applyBorder="1"/>
    <xf numFmtId="0" fontId="4" fillId="3" borderId="6" xfId="0" applyFont="1" applyFill="1" applyBorder="1"/>
    <xf numFmtId="0" fontId="4" fillId="3" borderId="24" xfId="0" applyFont="1" applyFill="1" applyBorder="1"/>
    <xf numFmtId="0" fontId="4" fillId="3" borderId="11" xfId="0" applyFont="1" applyFill="1" applyBorder="1"/>
    <xf numFmtId="0" fontId="4" fillId="3" borderId="0" xfId="0" applyFont="1" applyFill="1"/>
    <xf numFmtId="0" fontId="4" fillId="3" borderId="9" xfId="0" applyFont="1" applyFill="1" applyBorder="1"/>
    <xf numFmtId="0" fontId="4" fillId="3" borderId="12" xfId="0" applyFont="1" applyFill="1" applyBorder="1"/>
    <xf numFmtId="164" fontId="1" fillId="0" borderId="9" xfId="0" applyNumberFormat="1" applyFont="1" applyBorder="1"/>
    <xf numFmtId="164" fontId="4" fillId="0" borderId="6" xfId="0" applyNumberFormat="1" applyFont="1" applyBorder="1"/>
    <xf numFmtId="0" fontId="1" fillId="5" borderId="27" xfId="0" applyFont="1" applyFill="1" applyBorder="1" applyAlignment="1">
      <alignment horizontal="left" vertical="center" indent="1"/>
    </xf>
    <xf numFmtId="0" fontId="7" fillId="5" borderId="27" xfId="0" applyFont="1" applyFill="1" applyBorder="1" applyAlignment="1">
      <alignment horizontal="left" vertical="center" indent="1"/>
    </xf>
    <xf numFmtId="0" fontId="1" fillId="0" borderId="27" xfId="0" applyFont="1" applyBorder="1" applyAlignment="1">
      <alignment horizontal="left" vertical="center" indent="1"/>
    </xf>
    <xf numFmtId="0" fontId="4" fillId="3" borderId="29" xfId="0" applyFont="1" applyFill="1" applyBorder="1" applyAlignment="1">
      <alignment vertical="center"/>
    </xf>
    <xf numFmtId="165" fontId="4" fillId="0" borderId="29" xfId="0" applyNumberFormat="1" applyFont="1" applyBorder="1" applyAlignment="1">
      <alignment vertical="center"/>
    </xf>
    <xf numFmtId="0" fontId="1" fillId="0" borderId="30" xfId="0" applyFont="1" applyBorder="1" applyAlignment="1">
      <alignment vertical="center"/>
    </xf>
    <xf numFmtId="0" fontId="4" fillId="3" borderId="30" xfId="0" applyFont="1" applyFill="1" applyBorder="1" applyAlignment="1">
      <alignment vertical="center"/>
    </xf>
    <xf numFmtId="0" fontId="1" fillId="0" borderId="30" xfId="0" applyFont="1" applyBorder="1" applyAlignment="1">
      <alignment horizontal="center" vertical="center"/>
    </xf>
    <xf numFmtId="169" fontId="1" fillId="0" borderId="30" xfId="0" applyNumberFormat="1" applyFont="1" applyBorder="1" applyAlignment="1">
      <alignment horizontal="center" vertical="center"/>
    </xf>
    <xf numFmtId="165" fontId="1" fillId="0" borderId="30" xfId="0" applyNumberFormat="1" applyFont="1" applyBorder="1" applyAlignment="1">
      <alignment vertical="center"/>
    </xf>
    <xf numFmtId="165" fontId="8" fillId="0" borderId="30" xfId="0" applyNumberFormat="1" applyFont="1" applyBorder="1" applyAlignment="1">
      <alignment vertical="center"/>
    </xf>
    <xf numFmtId="167" fontId="8" fillId="0" borderId="18" xfId="0" applyNumberFormat="1" applyFont="1" applyBorder="1" applyAlignment="1">
      <alignment vertical="center"/>
    </xf>
    <xf numFmtId="0" fontId="8" fillId="0" borderId="11" xfId="0" applyFont="1" applyBorder="1" applyAlignment="1">
      <alignment horizontal="left" vertical="center" indent="2"/>
    </xf>
    <xf numFmtId="169" fontId="6" fillId="0" borderId="30" xfId="0" applyNumberFormat="1" applyFont="1" applyBorder="1" applyAlignment="1">
      <alignment horizontal="center" vertical="center"/>
    </xf>
    <xf numFmtId="169" fontId="1" fillId="0" borderId="0" xfId="0" applyNumberFormat="1" applyFont="1" applyAlignment="1">
      <alignment horizontal="center"/>
    </xf>
    <xf numFmtId="164" fontId="6" fillId="0" borderId="6" xfId="1" applyNumberFormat="1" applyFont="1" applyBorder="1"/>
    <xf numFmtId="0" fontId="7" fillId="5" borderId="27" xfId="2" applyNumberFormat="1" applyFont="1" applyFill="1" applyBorder="1" applyAlignment="1">
      <alignment horizontal="center" vertical="center"/>
    </xf>
    <xf numFmtId="0" fontId="7" fillId="5" borderId="28" xfId="2" applyNumberFormat="1" applyFont="1" applyFill="1" applyBorder="1" applyAlignment="1">
      <alignment horizontal="center" vertical="center"/>
    </xf>
    <xf numFmtId="2" fontId="1" fillId="0" borderId="9" xfId="0" applyNumberFormat="1" applyFont="1" applyBorder="1" applyAlignment="1">
      <alignment horizontal="center" vertical="center"/>
    </xf>
    <xf numFmtId="10" fontId="9" fillId="0" borderId="6" xfId="0" applyNumberFormat="1" applyFont="1" applyBorder="1" applyAlignment="1">
      <alignment horizontal="center"/>
    </xf>
    <xf numFmtId="10" fontId="9" fillId="0" borderId="7" xfId="0" applyNumberFormat="1" applyFont="1" applyBorder="1" applyAlignment="1">
      <alignment horizontal="center"/>
    </xf>
    <xf numFmtId="10" fontId="9" fillId="0" borderId="9" xfId="0" applyNumberFormat="1" applyFont="1" applyBorder="1" applyAlignment="1">
      <alignment horizontal="center"/>
    </xf>
    <xf numFmtId="165" fontId="9" fillId="0" borderId="30" xfId="0" applyNumberFormat="1" applyFont="1" applyBorder="1" applyAlignment="1">
      <alignment horizontal="right" vertical="center"/>
    </xf>
    <xf numFmtId="165" fontId="9" fillId="0" borderId="10" xfId="0" applyNumberFormat="1" applyFont="1" applyBorder="1" applyAlignment="1">
      <alignment horizontal="right" vertical="center"/>
    </xf>
    <xf numFmtId="0" fontId="4" fillId="7" borderId="1" xfId="0" applyFont="1" applyFill="1" applyBorder="1" applyAlignment="1">
      <alignment vertical="center"/>
    </xf>
    <xf numFmtId="0" fontId="4" fillId="7" borderId="2" xfId="0" applyFont="1" applyFill="1" applyBorder="1" applyAlignment="1">
      <alignment vertical="center"/>
    </xf>
    <xf numFmtId="0" fontId="4" fillId="7" borderId="3" xfId="0" applyFont="1" applyFill="1" applyBorder="1" applyAlignment="1">
      <alignment vertical="center"/>
    </xf>
    <xf numFmtId="0" fontId="1" fillId="0" borderId="22" xfId="0" applyFont="1" applyBorder="1"/>
    <xf numFmtId="0" fontId="4" fillId="0" borderId="1" xfId="0" applyFont="1" applyBorder="1" applyAlignment="1">
      <alignment vertical="center"/>
    </xf>
    <xf numFmtId="0" fontId="4" fillId="0" borderId="32" xfId="0" applyFont="1" applyBorder="1" applyAlignment="1">
      <alignment horizontal="center" vertical="center"/>
    </xf>
    <xf numFmtId="164" fontId="7" fillId="5" borderId="6" xfId="0" applyNumberFormat="1" applyFont="1" applyFill="1" applyBorder="1"/>
    <xf numFmtId="164" fontId="7" fillId="5" borderId="24" xfId="0" applyNumberFormat="1" applyFont="1" applyFill="1" applyBorder="1"/>
    <xf numFmtId="164" fontId="7" fillId="5" borderId="9" xfId="0" applyNumberFormat="1" applyFont="1" applyFill="1" applyBorder="1"/>
    <xf numFmtId="164" fontId="7" fillId="5" borderId="12" xfId="0" applyNumberFormat="1" applyFont="1" applyFill="1" applyBorder="1"/>
    <xf numFmtId="164" fontId="7" fillId="5" borderId="16" xfId="0" applyNumberFormat="1" applyFont="1" applyFill="1" applyBorder="1"/>
    <xf numFmtId="164" fontId="7" fillId="5" borderId="14" xfId="0" applyNumberFormat="1" applyFont="1" applyFill="1" applyBorder="1"/>
    <xf numFmtId="0" fontId="4" fillId="0" borderId="4" xfId="0" applyFont="1" applyBorder="1" applyAlignment="1">
      <alignment horizontal="center"/>
    </xf>
    <xf numFmtId="9" fontId="6" fillId="0" borderId="27" xfId="2" applyFont="1" applyFill="1" applyBorder="1" applyAlignment="1">
      <alignment horizontal="center" vertical="center"/>
    </xf>
    <xf numFmtId="9" fontId="1" fillId="0" borderId="12" xfId="0" applyNumberFormat="1" applyFont="1" applyBorder="1" applyAlignment="1">
      <alignment horizontal="center"/>
    </xf>
    <xf numFmtId="9" fontId="4" fillId="0" borderId="24" xfId="0" applyNumberFormat="1" applyFont="1" applyBorder="1" applyAlignment="1">
      <alignment horizontal="center"/>
    </xf>
    <xf numFmtId="178" fontId="4" fillId="0" borderId="18" xfId="0" applyNumberFormat="1" applyFont="1" applyBorder="1" applyAlignment="1">
      <alignment horizontal="center" vertical="center"/>
    </xf>
    <xf numFmtId="165" fontId="1" fillId="0" borderId="0" xfId="0" applyNumberFormat="1" applyFont="1"/>
    <xf numFmtId="0" fontId="17" fillId="10" borderId="3" xfId="0" applyFont="1" applyFill="1" applyBorder="1" applyAlignment="1">
      <alignment horizontal="center" vertical="center"/>
    </xf>
    <xf numFmtId="179" fontId="7" fillId="5" borderId="27" xfId="0" applyNumberFormat="1" applyFont="1" applyFill="1" applyBorder="1" applyAlignment="1">
      <alignment horizontal="center" vertical="center"/>
    </xf>
    <xf numFmtId="165" fontId="6" fillId="0" borderId="9" xfId="0" applyNumberFormat="1" applyFont="1" applyBorder="1" applyAlignment="1">
      <alignment horizontal="right" vertical="center"/>
    </xf>
    <xf numFmtId="180" fontId="7" fillId="5" borderId="27" xfId="0" applyNumberFormat="1" applyFont="1" applyFill="1" applyBorder="1" applyAlignment="1">
      <alignment horizontal="center" vertical="center"/>
    </xf>
    <xf numFmtId="165" fontId="6" fillId="0" borderId="30" xfId="0" applyNumberFormat="1" applyFont="1" applyBorder="1" applyAlignment="1">
      <alignment horizontal="right" vertical="center"/>
    </xf>
    <xf numFmtId="177" fontId="6" fillId="0" borderId="15" xfId="0" applyNumberFormat="1" applyFont="1" applyBorder="1" applyAlignment="1">
      <alignment horizontal="center"/>
    </xf>
    <xf numFmtId="10" fontId="9" fillId="0" borderId="16" xfId="0" applyNumberFormat="1" applyFont="1" applyBorder="1" applyAlignment="1">
      <alignment horizontal="center"/>
    </xf>
    <xf numFmtId="165" fontId="6" fillId="0" borderId="6" xfId="0" applyNumberFormat="1" applyFont="1" applyBorder="1"/>
    <xf numFmtId="165" fontId="6" fillId="0" borderId="7" xfId="0" applyNumberFormat="1" applyFont="1" applyBorder="1"/>
    <xf numFmtId="165" fontId="6" fillId="0" borderId="9" xfId="0" applyNumberFormat="1" applyFont="1" applyBorder="1"/>
    <xf numFmtId="165" fontId="6" fillId="0" borderId="10" xfId="0" applyNumberFormat="1" applyFont="1" applyBorder="1"/>
    <xf numFmtId="10" fontId="6" fillId="0" borderId="6" xfId="0" applyNumberFormat="1" applyFont="1" applyBorder="1" applyAlignment="1">
      <alignment horizontal="center"/>
    </xf>
    <xf numFmtId="10" fontId="6" fillId="0" borderId="9" xfId="0" applyNumberFormat="1" applyFont="1" applyBorder="1" applyAlignment="1">
      <alignment horizontal="center"/>
    </xf>
    <xf numFmtId="0" fontId="6" fillId="0" borderId="9" xfId="0" applyFont="1" applyBorder="1" applyAlignment="1">
      <alignment horizontal="center"/>
    </xf>
    <xf numFmtId="172" fontId="6" fillId="0" borderId="6" xfId="3" applyNumberFormat="1" applyFont="1" applyBorder="1"/>
    <xf numFmtId="10" fontId="6" fillId="0" borderId="6" xfId="2" applyNumberFormat="1" applyFont="1" applyBorder="1" applyAlignment="1">
      <alignment horizontal="center"/>
    </xf>
    <xf numFmtId="172" fontId="6" fillId="0" borderId="9" xfId="3" applyNumberFormat="1" applyFont="1" applyBorder="1"/>
    <xf numFmtId="10" fontId="6" fillId="0" borderId="9" xfId="2" applyNumberFormat="1" applyFont="1" applyBorder="1" applyAlignment="1">
      <alignment horizontal="center"/>
    </xf>
    <xf numFmtId="3" fontId="4" fillId="0" borderId="7" xfId="3" applyNumberFormat="1" applyFont="1" applyBorder="1" applyAlignment="1">
      <alignment vertical="center"/>
    </xf>
    <xf numFmtId="175" fontId="4" fillId="0" borderId="17" xfId="0" applyNumberFormat="1" applyFont="1" applyBorder="1" applyAlignment="1">
      <alignment vertical="center"/>
    </xf>
    <xf numFmtId="1" fontId="7" fillId="5" borderId="30" xfId="3" applyNumberFormat="1" applyFont="1" applyFill="1" applyBorder="1" applyAlignment="1">
      <alignment horizontal="center" vertical="center"/>
    </xf>
    <xf numFmtId="14"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7" fillId="5" borderId="9" xfId="3" applyNumberFormat="1" applyFont="1" applyFill="1" applyBorder="1" applyAlignment="1">
      <alignment horizontal="center" vertical="center"/>
    </xf>
    <xf numFmtId="14" fontId="7" fillId="5" borderId="10" xfId="3" applyNumberFormat="1" applyFont="1" applyFill="1" applyBorder="1" applyAlignment="1">
      <alignment horizontal="center" vertical="center"/>
    </xf>
    <xf numFmtId="164" fontId="4" fillId="0" borderId="26" xfId="0" applyNumberFormat="1" applyFont="1" applyBorder="1" applyAlignment="1">
      <alignment vertical="center"/>
    </xf>
    <xf numFmtId="164" fontId="6" fillId="0" borderId="6"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4" fillId="0" borderId="6" xfId="0" applyNumberFormat="1" applyFont="1" applyBorder="1" applyAlignment="1">
      <alignment vertical="center"/>
    </xf>
    <xf numFmtId="0" fontId="1" fillId="0" borderId="1" xfId="0" applyFont="1" applyBorder="1"/>
    <xf numFmtId="9" fontId="4" fillId="0" borderId="1" xfId="0" applyNumberFormat="1" applyFont="1" applyBorder="1"/>
    <xf numFmtId="181" fontId="4" fillId="0" borderId="4" xfId="0" applyNumberFormat="1" applyFont="1" applyBorder="1" applyAlignment="1">
      <alignment horizontal="center"/>
    </xf>
    <xf numFmtId="9" fontId="1" fillId="0" borderId="32" xfId="0" applyNumberFormat="1" applyFont="1" applyBorder="1" applyAlignment="1">
      <alignment horizontal="center"/>
    </xf>
    <xf numFmtId="164" fontId="1" fillId="0" borderId="32" xfId="0" applyNumberFormat="1" applyFont="1" applyBorder="1"/>
    <xf numFmtId="164" fontId="1" fillId="0" borderId="33" xfId="0" applyNumberFormat="1" applyFont="1" applyBorder="1"/>
    <xf numFmtId="169" fontId="1" fillId="0" borderId="32" xfId="0" applyNumberFormat="1" applyFont="1" applyBorder="1" applyAlignment="1">
      <alignment horizontal="center"/>
    </xf>
    <xf numFmtId="169" fontId="1" fillId="0" borderId="33" xfId="0" applyNumberFormat="1" applyFont="1" applyBorder="1" applyAlignment="1">
      <alignment horizontal="center"/>
    </xf>
    <xf numFmtId="182" fontId="4" fillId="0" borderId="18" xfId="0" applyNumberFormat="1" applyFont="1" applyBorder="1" applyAlignment="1">
      <alignment horizontal="center" vertical="center"/>
    </xf>
    <xf numFmtId="183" fontId="1" fillId="0" borderId="10" xfId="2" applyNumberFormat="1" applyFont="1" applyBorder="1" applyAlignment="1">
      <alignment horizontal="center" vertical="center"/>
    </xf>
    <xf numFmtId="173" fontId="1" fillId="0" borderId="10" xfId="2" applyNumberFormat="1" applyFont="1" applyBorder="1" applyAlignment="1">
      <alignment horizontal="center" vertical="center"/>
    </xf>
    <xf numFmtId="0" fontId="7" fillId="5" borderId="19" xfId="0" applyFont="1" applyFill="1" applyBorder="1" applyAlignment="1">
      <alignment horizontal="center"/>
    </xf>
    <xf numFmtId="0" fontId="7" fillId="5" borderId="20" xfId="0" applyFont="1" applyFill="1" applyBorder="1" applyAlignment="1">
      <alignment horizontal="center"/>
    </xf>
    <xf numFmtId="0" fontId="1" fillId="0" borderId="13" xfId="0" applyFont="1" applyBorder="1" applyAlignment="1">
      <alignment horizontal="left" indent="1"/>
    </xf>
    <xf numFmtId="0" fontId="7" fillId="5" borderId="21" xfId="0" applyFont="1" applyFill="1" applyBorder="1" applyAlignment="1">
      <alignment horizontal="center"/>
    </xf>
    <xf numFmtId="0" fontId="9" fillId="0" borderId="5" xfId="0" applyFont="1" applyBorder="1" applyAlignment="1">
      <alignment horizontal="center"/>
    </xf>
    <xf numFmtId="0" fontId="9" fillId="0" borderId="8" xfId="0" applyFont="1" applyBorder="1" applyAlignment="1">
      <alignment horizontal="center"/>
    </xf>
    <xf numFmtId="0" fontId="1" fillId="0" borderId="0" xfId="0" applyFont="1" applyAlignment="1">
      <alignment horizontal="center" vertical="center"/>
    </xf>
    <xf numFmtId="0" fontId="1" fillId="0" borderId="31" xfId="0" applyFont="1" applyBorder="1" applyAlignment="1">
      <alignment horizontal="center" vertical="center"/>
    </xf>
    <xf numFmtId="165" fontId="1" fillId="0" borderId="9" xfId="0" applyNumberFormat="1" applyFont="1" applyBorder="1" applyAlignment="1">
      <alignment horizontal="center" vertical="center"/>
    </xf>
    <xf numFmtId="165" fontId="1" fillId="0" borderId="30"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30"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6" fillId="0" borderId="0" xfId="0" applyFont="1" applyAlignment="1">
      <alignment vertical="center"/>
    </xf>
    <xf numFmtId="177" fontId="6" fillId="0" borderId="8" xfId="0" applyNumberFormat="1" applyFont="1" applyBorder="1" applyAlignment="1">
      <alignment horizontal="center"/>
    </xf>
    <xf numFmtId="0" fontId="8" fillId="0" borderId="0" xfId="0" applyFont="1"/>
    <xf numFmtId="167" fontId="1" fillId="0" borderId="10" xfId="3" applyNumberFormat="1" applyFont="1" applyFill="1" applyBorder="1" applyAlignment="1">
      <alignment vertical="center"/>
    </xf>
    <xf numFmtId="167" fontId="1" fillId="0" borderId="17" xfId="3" applyNumberFormat="1" applyFont="1" applyFill="1" applyBorder="1" applyAlignment="1">
      <alignment vertical="center"/>
    </xf>
    <xf numFmtId="164" fontId="6" fillId="0" borderId="9" xfId="1" applyNumberFormat="1" applyFont="1" applyBorder="1"/>
    <xf numFmtId="164" fontId="6" fillId="0" borderId="62" xfId="1" applyNumberFormat="1" applyFont="1" applyBorder="1"/>
    <xf numFmtId="164" fontId="6" fillId="0" borderId="7" xfId="1" applyNumberFormat="1" applyFont="1" applyBorder="1"/>
    <xf numFmtId="164" fontId="6" fillId="0" borderId="10" xfId="1" applyNumberFormat="1" applyFont="1" applyBorder="1"/>
    <xf numFmtId="164" fontId="6" fillId="0" borderId="12" xfId="1" applyNumberFormat="1" applyFont="1" applyBorder="1"/>
    <xf numFmtId="9" fontId="6" fillId="0" borderId="11" xfId="0" applyNumberFormat="1" applyFont="1" applyBorder="1" applyAlignment="1">
      <alignment horizontal="center"/>
    </xf>
    <xf numFmtId="167" fontId="21" fillId="2" borderId="7" xfId="3" applyNumberFormat="1" applyFont="1" applyFill="1" applyBorder="1" applyAlignment="1">
      <alignment vertical="center"/>
    </xf>
    <xf numFmtId="165" fontId="21" fillId="2" borderId="19" xfId="3" applyNumberFormat="1" applyFont="1" applyFill="1" applyBorder="1" applyAlignment="1">
      <alignment vertical="center"/>
    </xf>
    <xf numFmtId="3" fontId="6" fillId="0" borderId="30" xfId="3" applyNumberFormat="1" applyFont="1" applyFill="1" applyBorder="1" applyAlignment="1">
      <alignment vertical="center"/>
    </xf>
    <xf numFmtId="3" fontId="6" fillId="0" borderId="30" xfId="3" applyNumberFormat="1" applyFont="1" applyFill="1" applyBorder="1" applyAlignment="1">
      <alignment horizontal="right" vertical="center"/>
    </xf>
    <xf numFmtId="0" fontId="21" fillId="2" borderId="2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3" xfId="0" applyFont="1" applyFill="1" applyBorder="1" applyAlignment="1">
      <alignment horizontal="center" vertical="center" wrapText="1"/>
    </xf>
    <xf numFmtId="165" fontId="21" fillId="2" borderId="25" xfId="0" applyNumberFormat="1" applyFont="1" applyFill="1" applyBorder="1" applyAlignment="1">
      <alignment vertical="center"/>
    </xf>
    <xf numFmtId="167" fontId="21" fillId="2" borderId="25" xfId="3" applyNumberFormat="1" applyFont="1" applyFill="1" applyBorder="1" applyAlignment="1">
      <alignment vertical="center"/>
    </xf>
    <xf numFmtId="165" fontId="21" fillId="2" borderId="25" xfId="0" applyNumberFormat="1" applyFont="1" applyFill="1" applyBorder="1" applyAlignment="1">
      <alignment horizontal="right" vertical="center"/>
    </xf>
    <xf numFmtId="0" fontId="21" fillId="2" borderId="25" xfId="0" applyFont="1" applyFill="1" applyBorder="1" applyAlignment="1">
      <alignment horizontal="center"/>
    </xf>
    <xf numFmtId="0" fontId="21" fillId="2" borderId="14" xfId="0" applyFont="1" applyFill="1" applyBorder="1" applyAlignment="1">
      <alignment horizontal="center"/>
    </xf>
    <xf numFmtId="0" fontId="21" fillId="2" borderId="64" xfId="0" applyFont="1" applyFill="1" applyBorder="1" applyAlignment="1">
      <alignment horizontal="center" vertical="center" wrapText="1"/>
    </xf>
    <xf numFmtId="0" fontId="21" fillId="2" borderId="64" xfId="0" applyFont="1" applyFill="1" applyBorder="1" applyAlignment="1">
      <alignment horizontal="right" vertical="center" wrapText="1"/>
    </xf>
    <xf numFmtId="0" fontId="21" fillId="2" borderId="63" xfId="0" applyFont="1" applyFill="1" applyBorder="1" applyAlignment="1">
      <alignment horizontal="center" vertical="center" wrapText="1"/>
    </xf>
    <xf numFmtId="0" fontId="21" fillId="2" borderId="63" xfId="0" applyFont="1" applyFill="1" applyBorder="1" applyAlignment="1">
      <alignment horizontal="right" vertical="center" wrapText="1"/>
    </xf>
    <xf numFmtId="3" fontId="21" fillId="2" borderId="65" xfId="0" applyNumberFormat="1" applyFont="1" applyFill="1" applyBorder="1" applyAlignment="1">
      <alignment horizontal="right" vertical="center" wrapText="1"/>
    </xf>
    <xf numFmtId="3" fontId="21" fillId="2" borderId="66" xfId="0" applyNumberFormat="1" applyFont="1" applyFill="1" applyBorder="1" applyAlignment="1">
      <alignment horizontal="right" vertical="center" wrapText="1"/>
    </xf>
    <xf numFmtId="166" fontId="21" fillId="2" borderId="23" xfId="3" applyNumberFormat="1" applyFont="1" applyFill="1" applyBorder="1" applyAlignment="1">
      <alignment horizontal="center" vertical="center"/>
    </xf>
    <xf numFmtId="166" fontId="21" fillId="2" borderId="25" xfId="3" applyNumberFormat="1" applyFont="1" applyFill="1" applyBorder="1" applyAlignment="1">
      <alignment horizontal="center" vertical="center"/>
    </xf>
    <xf numFmtId="9" fontId="21" fillId="2" borderId="64" xfId="2" applyFont="1" applyFill="1" applyBorder="1" applyAlignment="1">
      <alignment horizontal="center" vertical="center"/>
    </xf>
    <xf numFmtId="0" fontId="21" fillId="2" borderId="64" xfId="2" applyNumberFormat="1" applyFont="1" applyFill="1" applyBorder="1" applyAlignment="1">
      <alignment horizontal="center" vertical="center"/>
    </xf>
    <xf numFmtId="166" fontId="21" fillId="2" borderId="64" xfId="3" applyNumberFormat="1" applyFont="1" applyFill="1" applyBorder="1" applyAlignment="1">
      <alignment horizontal="center" vertical="center"/>
    </xf>
    <xf numFmtId="9" fontId="21" fillId="2" borderId="63" xfId="2" applyFont="1" applyFill="1" applyBorder="1" applyAlignment="1">
      <alignment horizontal="center" vertical="center"/>
    </xf>
    <xf numFmtId="0" fontId="21" fillId="2" borderId="63" xfId="2" applyNumberFormat="1" applyFont="1" applyFill="1" applyBorder="1" applyAlignment="1">
      <alignment horizontal="center" vertical="center"/>
    </xf>
    <xf numFmtId="166" fontId="21" fillId="2" borderId="63" xfId="3" applyNumberFormat="1" applyFont="1" applyFill="1" applyBorder="1" applyAlignment="1">
      <alignment horizontal="center" vertical="center"/>
    </xf>
    <xf numFmtId="9" fontId="21" fillId="2" borderId="67" xfId="2" applyFont="1" applyFill="1" applyBorder="1" applyAlignment="1">
      <alignment horizontal="center" vertical="center"/>
    </xf>
    <xf numFmtId="9" fontId="21" fillId="2" borderId="68" xfId="2" applyFont="1" applyFill="1" applyBorder="1" applyAlignment="1">
      <alignment horizontal="center" vertical="center"/>
    </xf>
    <xf numFmtId="9" fontId="7" fillId="5" borderId="30" xfId="2" applyFont="1" applyFill="1" applyBorder="1" applyAlignment="1">
      <alignment horizontal="center" vertical="center"/>
    </xf>
    <xf numFmtId="9" fontId="7" fillId="5" borderId="18" xfId="2" applyFont="1" applyFill="1" applyBorder="1" applyAlignment="1">
      <alignment horizontal="center" vertical="center"/>
    </xf>
    <xf numFmtId="168" fontId="4" fillId="0" borderId="23" xfId="0" applyNumberFormat="1" applyFont="1" applyBorder="1" applyAlignment="1">
      <alignment horizontal="center" vertical="center"/>
    </xf>
    <xf numFmtId="164" fontId="21" fillId="2" borderId="69" xfId="2" applyNumberFormat="1" applyFont="1" applyFill="1" applyBorder="1" applyAlignment="1">
      <alignment horizontal="center" vertical="center"/>
    </xf>
    <xf numFmtId="164" fontId="21" fillId="2" borderId="70" xfId="2" applyNumberFormat="1" applyFont="1" applyFill="1" applyBorder="1" applyAlignment="1">
      <alignment horizontal="center" vertical="center"/>
    </xf>
    <xf numFmtId="164" fontId="7" fillId="5" borderId="8" xfId="2" applyNumberFormat="1" applyFont="1" applyFill="1" applyBorder="1" applyAlignment="1">
      <alignment horizontal="center" vertical="center"/>
    </xf>
    <xf numFmtId="164" fontId="7" fillId="5" borderId="15" xfId="2" applyNumberFormat="1" applyFont="1" applyFill="1" applyBorder="1" applyAlignment="1">
      <alignment horizontal="center" vertical="center"/>
    </xf>
    <xf numFmtId="168" fontId="4" fillId="0" borderId="5" xfId="0" applyNumberFormat="1" applyFont="1" applyBorder="1" applyAlignment="1">
      <alignment horizontal="center" vertical="center"/>
    </xf>
    <xf numFmtId="173" fontId="4" fillId="0" borderId="15" xfId="0" applyNumberFormat="1" applyFont="1" applyBorder="1" applyAlignment="1">
      <alignment horizontal="center" vertical="center"/>
    </xf>
    <xf numFmtId="165" fontId="21" fillId="2" borderId="13" xfId="0" applyNumberFormat="1" applyFont="1" applyFill="1" applyBorder="1" applyAlignment="1">
      <alignment vertical="center"/>
    </xf>
    <xf numFmtId="165" fontId="21" fillId="2" borderId="22" xfId="0" applyNumberFormat="1" applyFont="1" applyFill="1" applyBorder="1" applyAlignment="1">
      <alignment vertical="center"/>
    </xf>
    <xf numFmtId="167" fontId="21" fillId="2" borderId="17" xfId="3" applyNumberFormat="1" applyFont="1" applyFill="1" applyBorder="1" applyAlignment="1">
      <alignment vertical="center"/>
    </xf>
    <xf numFmtId="165" fontId="21" fillId="2" borderId="21" xfId="3" applyNumberFormat="1" applyFont="1" applyFill="1" applyBorder="1" applyAlignment="1">
      <alignment vertical="center"/>
    </xf>
    <xf numFmtId="165" fontId="21" fillId="2" borderId="23" xfId="0" applyNumberFormat="1" applyFont="1" applyFill="1" applyBorder="1" applyAlignment="1">
      <alignment vertical="center"/>
    </xf>
    <xf numFmtId="165" fontId="21" fillId="2" borderId="23" xfId="0" applyNumberFormat="1" applyFont="1" applyFill="1" applyBorder="1" applyAlignment="1">
      <alignment horizontal="right" vertical="center"/>
    </xf>
    <xf numFmtId="0" fontId="21" fillId="2" borderId="6" xfId="0" applyFont="1" applyFill="1" applyBorder="1" applyAlignment="1">
      <alignment horizontal="center" vertical="center" wrapText="1"/>
    </xf>
    <xf numFmtId="165" fontId="21" fillId="2" borderId="16" xfId="0" applyNumberFormat="1" applyFont="1" applyFill="1" applyBorder="1" applyAlignment="1">
      <alignment vertical="center"/>
    </xf>
    <xf numFmtId="0" fontId="21" fillId="2" borderId="23" xfId="0" applyFont="1" applyFill="1" applyBorder="1" applyAlignment="1">
      <alignment horizontal="center"/>
    </xf>
    <xf numFmtId="0" fontId="1" fillId="0" borderId="11" xfId="0" applyFont="1" applyBorder="1" applyAlignment="1">
      <alignment horizontal="center"/>
    </xf>
    <xf numFmtId="165" fontId="4" fillId="0" borderId="22" xfId="0" applyNumberFormat="1" applyFont="1" applyBorder="1" applyAlignment="1">
      <alignment vertical="center"/>
    </xf>
    <xf numFmtId="0" fontId="1" fillId="0" borderId="12" xfId="0" applyFont="1" applyBorder="1" applyAlignment="1">
      <alignment horizontal="center"/>
    </xf>
    <xf numFmtId="0" fontId="1" fillId="0" borderId="24" xfId="0" applyFont="1" applyBorder="1"/>
    <xf numFmtId="0" fontId="21" fillId="2" borderId="16" xfId="0" applyFont="1" applyFill="1" applyBorder="1" applyAlignment="1">
      <alignment horizontal="center"/>
    </xf>
    <xf numFmtId="0" fontId="1" fillId="0" borderId="9" xfId="0" applyFont="1" applyBorder="1" applyAlignment="1">
      <alignment horizontal="center"/>
    </xf>
    <xf numFmtId="0" fontId="1" fillId="0" borderId="6" xfId="0" applyFont="1" applyBorder="1"/>
    <xf numFmtId="164" fontId="21" fillId="2" borderId="6" xfId="0" applyNumberFormat="1" applyFont="1" applyFill="1" applyBorder="1" applyAlignment="1">
      <alignment horizontal="center" vertical="center" wrapText="1"/>
    </xf>
    <xf numFmtId="164" fontId="21" fillId="2" borderId="23" xfId="0" applyNumberFormat="1" applyFont="1" applyFill="1" applyBorder="1" applyAlignment="1">
      <alignment horizontal="center" vertical="center" wrapText="1"/>
    </xf>
    <xf numFmtId="164" fontId="21" fillId="2" borderId="19" xfId="0" applyNumberFormat="1" applyFont="1" applyFill="1" applyBorder="1" applyAlignment="1">
      <alignment horizontal="center" vertical="center" wrapText="1"/>
    </xf>
    <xf numFmtId="44" fontId="21" fillId="2" borderId="7" xfId="0" applyNumberFormat="1" applyFont="1" applyFill="1" applyBorder="1" applyAlignment="1">
      <alignment horizontal="center" vertical="center" wrapText="1"/>
    </xf>
    <xf numFmtId="0" fontId="4" fillId="0" borderId="24" xfId="0" applyFont="1" applyBorder="1" applyAlignment="1">
      <alignment horizontal="center"/>
    </xf>
    <xf numFmtId="9" fontId="7" fillId="0" borderId="11" xfId="0" applyNumberFormat="1" applyFont="1" applyBorder="1" applyAlignment="1">
      <alignment horizontal="center"/>
    </xf>
    <xf numFmtId="0" fontId="4" fillId="0" borderId="12" xfId="0" applyFont="1" applyBorder="1" applyAlignment="1">
      <alignment horizontal="center"/>
    </xf>
    <xf numFmtId="0" fontId="4" fillId="0" borderId="32" xfId="0" applyFont="1" applyBorder="1" applyAlignment="1">
      <alignment horizontal="center"/>
    </xf>
    <xf numFmtId="0" fontId="1" fillId="0" borderId="10" xfId="0" applyFont="1" applyBorder="1" applyAlignment="1">
      <alignment horizontal="center"/>
    </xf>
    <xf numFmtId="176" fontId="6" fillId="0" borderId="11" xfId="0" applyNumberFormat="1" applyFont="1" applyBorder="1" applyAlignment="1">
      <alignment horizontal="center"/>
    </xf>
    <xf numFmtId="10" fontId="9" fillId="0" borderId="17" xfId="0" applyNumberFormat="1" applyFont="1" applyBorder="1" applyAlignment="1">
      <alignment horizontal="center"/>
    </xf>
    <xf numFmtId="9" fontId="6" fillId="0" borderId="5" xfId="0" applyNumberFormat="1" applyFont="1" applyBorder="1" applyAlignment="1">
      <alignment horizontal="center"/>
    </xf>
    <xf numFmtId="9" fontId="6" fillId="0" borderId="8" xfId="0" applyNumberFormat="1" applyFont="1" applyBorder="1" applyAlignment="1">
      <alignment horizontal="center"/>
    </xf>
    <xf numFmtId="0" fontId="22" fillId="0" borderId="0" xfId="0" applyFont="1" applyAlignment="1">
      <alignment horizontal="left" vertical="top" wrapText="1"/>
    </xf>
    <xf numFmtId="164" fontId="6" fillId="0" borderId="71" xfId="1" applyNumberFormat="1" applyFont="1" applyFill="1" applyBorder="1"/>
    <xf numFmtId="10" fontId="6" fillId="0" borderId="11" xfId="0" applyNumberFormat="1" applyFont="1" applyBorder="1" applyAlignment="1">
      <alignment horizontal="center"/>
    </xf>
    <xf numFmtId="164" fontId="6" fillId="0" borderId="62" xfId="1" applyNumberFormat="1" applyFont="1" applyFill="1" applyBorder="1"/>
    <xf numFmtId="164" fontId="6" fillId="0" borderId="12" xfId="1" applyNumberFormat="1" applyFont="1" applyFill="1" applyBorder="1"/>
    <xf numFmtId="0" fontId="6" fillId="0" borderId="4" xfId="0" applyFont="1" applyBorder="1" applyAlignment="1">
      <alignment horizontal="center"/>
    </xf>
    <xf numFmtId="164" fontId="6" fillId="0" borderId="9" xfId="1" applyNumberFormat="1" applyFont="1" applyFill="1" applyBorder="1"/>
    <xf numFmtId="164" fontId="6" fillId="0" borderId="10" xfId="1" applyNumberFormat="1" applyFont="1" applyFill="1" applyBorder="1"/>
    <xf numFmtId="10" fontId="6" fillId="0" borderId="15" xfId="0" applyNumberFormat="1" applyFont="1" applyBorder="1" applyAlignment="1">
      <alignment horizontal="center"/>
    </xf>
    <xf numFmtId="164" fontId="6" fillId="0" borderId="16" xfId="1" applyNumberFormat="1" applyFont="1" applyBorder="1"/>
    <xf numFmtId="164" fontId="6" fillId="0" borderId="17" xfId="1" applyNumberFormat="1" applyFont="1" applyBorder="1"/>
    <xf numFmtId="0" fontId="4" fillId="0" borderId="1" xfId="0" applyFont="1" applyBorder="1" applyAlignment="1">
      <alignment horizontal="left" indent="2"/>
    </xf>
    <xf numFmtId="0" fontId="4" fillId="0" borderId="2" xfId="0" applyFont="1" applyBorder="1"/>
    <xf numFmtId="0" fontId="4" fillId="0" borderId="31" xfId="0" applyFont="1" applyBorder="1"/>
    <xf numFmtId="172" fontId="4" fillId="0" borderId="32" xfId="0" applyNumberFormat="1" applyFont="1" applyBorder="1"/>
    <xf numFmtId="172" fontId="5" fillId="0" borderId="33" xfId="0" applyNumberFormat="1" applyFont="1" applyBorder="1"/>
    <xf numFmtId="0" fontId="0" fillId="0" borderId="0" xfId="0" applyAlignment="1">
      <alignment wrapText="1"/>
    </xf>
    <xf numFmtId="0" fontId="25" fillId="6" borderId="72" xfId="0" applyFont="1" applyFill="1" applyBorder="1" applyAlignment="1">
      <alignment horizontal="center" vertical="center" wrapText="1"/>
    </xf>
    <xf numFmtId="0" fontId="25" fillId="5" borderId="72" xfId="0" applyFont="1" applyFill="1" applyBorder="1" applyAlignment="1">
      <alignment horizontal="center" vertical="center" wrapText="1"/>
    </xf>
    <xf numFmtId="0" fontId="25" fillId="11" borderId="72" xfId="0" applyFont="1" applyFill="1" applyBorder="1" applyAlignment="1">
      <alignment horizontal="center" vertical="center" wrapText="1"/>
    </xf>
    <xf numFmtId="0" fontId="25" fillId="11" borderId="74" xfId="0" applyFont="1" applyFill="1" applyBorder="1" applyAlignment="1">
      <alignment horizontal="center" vertical="center" wrapText="1"/>
    </xf>
    <xf numFmtId="0" fontId="25" fillId="12" borderId="72" xfId="0" applyFont="1" applyFill="1" applyBorder="1" applyAlignment="1">
      <alignment horizontal="center" vertical="center" wrapText="1"/>
    </xf>
    <xf numFmtId="0" fontId="25" fillId="5" borderId="73" xfId="0" applyFont="1" applyFill="1" applyBorder="1" applyAlignment="1">
      <alignment horizontal="center" vertical="center" wrapText="1"/>
    </xf>
    <xf numFmtId="0" fontId="25" fillId="13" borderId="74" xfId="0" applyFont="1" applyFill="1" applyBorder="1" applyAlignment="1">
      <alignment horizontal="center" vertical="center" wrapText="1"/>
    </xf>
    <xf numFmtId="0" fontId="25" fillId="6" borderId="75" xfId="0" applyFont="1" applyFill="1" applyBorder="1" applyAlignment="1">
      <alignment horizontal="center" vertical="center" wrapText="1"/>
    </xf>
    <xf numFmtId="0" fontId="25" fillId="6" borderId="76" xfId="0" applyFont="1" applyFill="1" applyBorder="1" applyAlignment="1">
      <alignment horizontal="center" vertical="center" wrapText="1"/>
    </xf>
    <xf numFmtId="0" fontId="25" fillId="13" borderId="77" xfId="0" applyFont="1" applyFill="1" applyBorder="1" applyAlignment="1">
      <alignment horizontal="center" vertical="center" wrapText="1"/>
    </xf>
    <xf numFmtId="0" fontId="25" fillId="13" borderId="75" xfId="0" applyFont="1" applyFill="1" applyBorder="1" applyAlignment="1">
      <alignment horizontal="center" vertical="center" wrapText="1"/>
    </xf>
    <xf numFmtId="0" fontId="25" fillId="11" borderId="75" xfId="0" applyFont="1" applyFill="1" applyBorder="1" applyAlignment="1">
      <alignment horizontal="center" vertical="center" wrapText="1"/>
    </xf>
    <xf numFmtId="0" fontId="25" fillId="12" borderId="75" xfId="0" applyFont="1" applyFill="1" applyBorder="1" applyAlignment="1">
      <alignment horizontal="center" vertical="center" wrapText="1"/>
    </xf>
    <xf numFmtId="0" fontId="25" fillId="6" borderId="78" xfId="0" applyFont="1" applyFill="1" applyBorder="1" applyAlignment="1">
      <alignment horizontal="center" vertical="center" wrapText="1"/>
    </xf>
    <xf numFmtId="0" fontId="25" fillId="6" borderId="79" xfId="0" applyFont="1" applyFill="1" applyBorder="1" applyAlignment="1">
      <alignment horizontal="center" vertical="center" wrapText="1"/>
    </xf>
    <xf numFmtId="0" fontId="25" fillId="14" borderId="80" xfId="0" applyFont="1" applyFill="1" applyBorder="1" applyAlignment="1">
      <alignment horizontal="center" vertical="center" wrapText="1"/>
    </xf>
    <xf numFmtId="0" fontId="25" fillId="13" borderId="78" xfId="0" applyFont="1" applyFill="1" applyBorder="1" applyAlignment="1">
      <alignment horizontal="center" vertical="center" wrapText="1"/>
    </xf>
    <xf numFmtId="0" fontId="25" fillId="11" borderId="78" xfId="0" applyFont="1" applyFill="1" applyBorder="1" applyAlignment="1">
      <alignment horizontal="center" vertical="center" wrapText="1"/>
    </xf>
    <xf numFmtId="0" fontId="25" fillId="12" borderId="78"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25" fillId="14" borderId="74" xfId="0" applyFont="1" applyFill="1" applyBorder="1" applyAlignment="1">
      <alignment horizontal="center" vertical="center" wrapText="1"/>
    </xf>
    <xf numFmtId="0" fontId="25" fillId="14" borderId="72" xfId="0" applyFont="1" applyFill="1" applyBorder="1" applyAlignment="1">
      <alignment horizontal="center" vertical="center" wrapText="1"/>
    </xf>
    <xf numFmtId="0" fontId="25" fillId="13" borderId="72" xfId="0" applyFont="1" applyFill="1" applyBorder="1" applyAlignment="1">
      <alignment horizontal="center" vertical="center" wrapText="1"/>
    </xf>
    <xf numFmtId="0" fontId="25" fillId="6" borderId="81" xfId="0" applyFont="1" applyFill="1" applyBorder="1" applyAlignment="1">
      <alignment horizontal="center" vertical="center" wrapText="1"/>
    </xf>
    <xf numFmtId="0" fontId="25" fillId="6" borderId="82" xfId="0" applyFont="1" applyFill="1" applyBorder="1" applyAlignment="1">
      <alignment horizontal="center" vertical="center" wrapText="1"/>
    </xf>
    <xf numFmtId="0" fontId="25" fillId="14" borderId="83" xfId="0" applyFont="1" applyFill="1" applyBorder="1" applyAlignment="1">
      <alignment horizontal="center" vertical="center" wrapText="1"/>
    </xf>
    <xf numFmtId="0" fontId="25" fillId="14" borderId="81" xfId="0" applyFont="1" applyFill="1" applyBorder="1" applyAlignment="1">
      <alignment horizontal="center" vertical="center" wrapText="1"/>
    </xf>
    <xf numFmtId="0" fontId="25" fillId="13" borderId="81" xfId="0" applyFont="1" applyFill="1" applyBorder="1" applyAlignment="1">
      <alignment horizontal="center" vertical="center" wrapText="1"/>
    </xf>
    <xf numFmtId="0" fontId="25" fillId="12" borderId="81" xfId="0" applyFont="1" applyFill="1" applyBorder="1" applyAlignment="1">
      <alignment horizontal="center" vertical="center" wrapText="1"/>
    </xf>
    <xf numFmtId="0" fontId="25" fillId="14" borderId="77" xfId="0" applyFont="1" applyFill="1" applyBorder="1" applyAlignment="1">
      <alignment horizontal="center" vertical="center" wrapText="1"/>
    </xf>
    <xf numFmtId="0" fontId="25" fillId="14" borderId="75" xfId="0" applyFont="1" applyFill="1" applyBorder="1" applyAlignment="1">
      <alignment horizontal="center" vertical="center" wrapText="1"/>
    </xf>
    <xf numFmtId="0" fontId="25" fillId="15" borderId="80" xfId="0" applyFont="1" applyFill="1" applyBorder="1" applyAlignment="1">
      <alignment horizontal="center" vertical="center" wrapText="1"/>
    </xf>
    <xf numFmtId="0" fontId="25" fillId="15" borderId="78" xfId="0" applyFont="1" applyFill="1" applyBorder="1" applyAlignment="1">
      <alignment horizontal="center" vertical="center" wrapText="1"/>
    </xf>
    <xf numFmtId="0" fontId="0" fillId="6" borderId="72" xfId="0" applyFill="1" applyBorder="1" applyAlignment="1">
      <alignment horizontal="center" vertical="center" wrapText="1"/>
    </xf>
    <xf numFmtId="0" fontId="0" fillId="14" borderId="72" xfId="0" applyFill="1" applyBorder="1" applyAlignment="1">
      <alignment horizontal="center" vertical="center" wrapText="1"/>
    </xf>
    <xf numFmtId="0" fontId="0" fillId="5" borderId="72" xfId="0" applyFill="1" applyBorder="1" applyAlignment="1">
      <alignment horizontal="center" vertical="center" wrapText="1"/>
    </xf>
    <xf numFmtId="0" fontId="0" fillId="13" borderId="72" xfId="0" applyFill="1" applyBorder="1" applyAlignment="1">
      <alignment horizontal="center" vertical="center" wrapText="1"/>
    </xf>
    <xf numFmtId="0" fontId="0" fillId="11" borderId="72" xfId="0" applyFill="1" applyBorder="1" applyAlignment="1">
      <alignment horizontal="center" vertical="center" wrapText="1"/>
    </xf>
    <xf numFmtId="0" fontId="0" fillId="12" borderId="72" xfId="0" applyFill="1" applyBorder="1" applyAlignment="1">
      <alignment horizontal="center" vertical="center" wrapText="1"/>
    </xf>
    <xf numFmtId="0" fontId="0" fillId="15" borderId="72" xfId="0" applyFill="1" applyBorder="1" applyAlignment="1">
      <alignment horizontal="center" vertical="center" wrapText="1"/>
    </xf>
    <xf numFmtId="0" fontId="1" fillId="0" borderId="11" xfId="0" applyFont="1" applyBorder="1" applyAlignment="1">
      <alignment horizontal="left" vertical="center" indent="1"/>
    </xf>
    <xf numFmtId="0" fontId="1" fillId="0" borderId="0" xfId="0" applyFont="1" applyAlignment="1">
      <alignment horizontal="left" vertical="center" indent="1"/>
    </xf>
    <xf numFmtId="0" fontId="7" fillId="5" borderId="30" xfId="0" applyFont="1" applyFill="1" applyBorder="1" applyAlignment="1">
      <alignment horizontal="center" vertical="center"/>
    </xf>
    <xf numFmtId="0" fontId="1" fillId="0" borderId="84" xfId="0" applyFont="1" applyBorder="1" applyAlignment="1">
      <alignment horizontal="left" vertical="center" indent="1"/>
    </xf>
    <xf numFmtId="0" fontId="1" fillId="0" borderId="85" xfId="0" applyFont="1" applyBorder="1" applyAlignment="1">
      <alignment vertical="center"/>
    </xf>
    <xf numFmtId="0" fontId="7" fillId="5" borderId="90" xfId="0" applyFont="1" applyFill="1" applyBorder="1" applyAlignment="1">
      <alignment horizontal="center" vertical="center"/>
    </xf>
    <xf numFmtId="0" fontId="1" fillId="0" borderId="86" xfId="0" applyFont="1" applyBorder="1" applyAlignment="1">
      <alignment horizontal="left" vertical="center" indent="1"/>
    </xf>
    <xf numFmtId="9" fontId="7" fillId="5" borderId="91" xfId="2" applyFont="1" applyFill="1" applyBorder="1" applyAlignment="1">
      <alignment horizontal="center" vertical="center"/>
    </xf>
    <xf numFmtId="0" fontId="7" fillId="5" borderId="91" xfId="0" applyFont="1" applyFill="1" applyBorder="1" applyAlignment="1">
      <alignment horizontal="center" vertical="center"/>
    </xf>
    <xf numFmtId="0" fontId="1" fillId="0" borderId="87" xfId="0" applyFont="1" applyBorder="1" applyAlignment="1">
      <alignment horizontal="left" vertical="center" indent="1"/>
    </xf>
    <xf numFmtId="0" fontId="1" fillId="0" borderId="88" xfId="0" applyFont="1" applyBorder="1" applyAlignment="1">
      <alignment vertical="center"/>
    </xf>
    <xf numFmtId="10" fontId="6" fillId="0" borderId="92" xfId="0" applyNumberFormat="1" applyFont="1" applyBorder="1" applyAlignment="1">
      <alignment horizontal="center" vertical="center" wrapText="1"/>
    </xf>
    <xf numFmtId="0" fontId="4" fillId="2" borderId="22" xfId="0" applyFont="1" applyFill="1" applyBorder="1" applyAlignment="1">
      <alignment vertical="center"/>
    </xf>
    <xf numFmtId="0" fontId="1" fillId="2" borderId="23" xfId="0" applyFont="1" applyFill="1" applyBorder="1" applyAlignment="1">
      <alignment vertical="center"/>
    </xf>
    <xf numFmtId="0" fontId="6" fillId="0" borderId="93" xfId="0" applyFont="1" applyBorder="1" applyAlignment="1">
      <alignment horizontal="center" vertical="center" wrapText="1"/>
    </xf>
    <xf numFmtId="0" fontId="1" fillId="2" borderId="94" xfId="0" applyFont="1" applyFill="1" applyBorder="1" applyAlignment="1">
      <alignment vertical="center"/>
    </xf>
    <xf numFmtId="9" fontId="7" fillId="5" borderId="27" xfId="2" applyFont="1" applyFill="1" applyBorder="1" applyAlignment="1">
      <alignment horizontal="center" vertical="center"/>
    </xf>
    <xf numFmtId="0" fontId="0" fillId="16" borderId="0" xfId="0" applyFill="1" applyAlignment="1">
      <alignment wrapText="1"/>
    </xf>
    <xf numFmtId="0" fontId="23" fillId="16" borderId="0" xfId="0" applyFont="1" applyFill="1" applyAlignment="1">
      <alignment wrapText="1"/>
    </xf>
    <xf numFmtId="0" fontId="24" fillId="0" borderId="72" xfId="0" applyFont="1" applyBorder="1" applyAlignment="1">
      <alignment horizontal="center" vertical="center" wrapText="1"/>
    </xf>
    <xf numFmtId="9" fontId="24" fillId="0" borderId="72" xfId="0" applyNumberFormat="1" applyFont="1" applyBorder="1" applyAlignment="1">
      <alignment horizontal="center" vertical="center" wrapText="1"/>
    </xf>
    <xf numFmtId="9" fontId="24" fillId="0" borderId="73" xfId="0" applyNumberFormat="1" applyFont="1" applyBorder="1" applyAlignment="1">
      <alignment horizontal="center" vertical="center" wrapText="1"/>
    </xf>
    <xf numFmtId="9" fontId="24" fillId="0" borderId="74" xfId="0" applyNumberFormat="1" applyFont="1" applyBorder="1" applyAlignment="1">
      <alignment horizontal="center" vertical="center" wrapText="1"/>
    </xf>
    <xf numFmtId="0" fontId="32" fillId="0" borderId="72" xfId="0" applyFont="1" applyBorder="1" applyAlignment="1">
      <alignment vertical="top" wrapText="1"/>
    </xf>
    <xf numFmtId="0" fontId="32" fillId="16" borderId="72" xfId="0" applyFont="1" applyFill="1" applyBorder="1" applyAlignment="1">
      <alignment vertical="top" wrapText="1"/>
    </xf>
    <xf numFmtId="0" fontId="0" fillId="0" borderId="72" xfId="0" applyBorder="1" applyAlignment="1">
      <alignment vertical="top" wrapText="1"/>
    </xf>
    <xf numFmtId="9" fontId="24" fillId="0" borderId="75" xfId="0" applyNumberFormat="1" applyFont="1" applyBorder="1" applyAlignment="1">
      <alignment horizontal="center" vertical="center" wrapText="1"/>
    </xf>
    <xf numFmtId="9" fontId="24" fillId="0" borderId="78" xfId="0" applyNumberFormat="1" applyFont="1" applyBorder="1" applyAlignment="1">
      <alignment horizontal="center" vertical="center" wrapText="1"/>
    </xf>
    <xf numFmtId="9" fontId="24" fillId="0" borderId="81" xfId="0" applyNumberFormat="1" applyFont="1" applyBorder="1" applyAlignment="1">
      <alignment horizontal="center" vertical="center" wrapText="1"/>
    </xf>
    <xf numFmtId="0" fontId="4" fillId="0" borderId="22" xfId="0" applyFont="1" applyBorder="1" applyAlignment="1">
      <alignment horizontal="left" vertical="center"/>
    </xf>
    <xf numFmtId="0" fontId="4" fillId="0" borderId="11" xfId="0" applyFont="1" applyBorder="1" applyAlignment="1">
      <alignment horizontal="left" vertical="center" indent="2"/>
    </xf>
    <xf numFmtId="0" fontId="4" fillId="0" borderId="27" xfId="0" applyFont="1" applyBorder="1" applyAlignment="1">
      <alignment horizontal="left" vertical="center" indent="2"/>
    </xf>
    <xf numFmtId="164" fontId="7" fillId="5" borderId="95" xfId="0" applyNumberFormat="1" applyFont="1" applyFill="1" applyBorder="1" applyAlignment="1">
      <alignment vertical="center"/>
    </xf>
    <xf numFmtId="164" fontId="7" fillId="5" borderId="96" xfId="0" applyNumberFormat="1" applyFont="1" applyFill="1" applyBorder="1" applyAlignment="1">
      <alignment vertical="center"/>
    </xf>
    <xf numFmtId="0" fontId="1" fillId="0" borderId="12" xfId="0" applyFont="1" applyBorder="1" applyAlignment="1">
      <alignment horizontal="left"/>
    </xf>
    <xf numFmtId="0" fontId="21" fillId="2" borderId="24" xfId="0" applyFont="1" applyFill="1" applyBorder="1" applyAlignment="1">
      <alignment horizontal="left" vertical="center" wrapText="1"/>
    </xf>
    <xf numFmtId="0" fontId="21" fillId="2" borderId="14" xfId="0" applyFont="1" applyFill="1" applyBorder="1" applyAlignment="1">
      <alignment horizontal="left"/>
    </xf>
    <xf numFmtId="0" fontId="21" fillId="2" borderId="6" xfId="0" applyFont="1" applyFill="1" applyBorder="1" applyAlignment="1">
      <alignment horizontal="center"/>
    </xf>
    <xf numFmtId="0" fontId="1" fillId="0" borderId="16" xfId="0" applyFont="1" applyBorder="1" applyAlignment="1">
      <alignment horizont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xf>
    <xf numFmtId="0" fontId="4" fillId="0" borderId="3" xfId="0" applyFont="1" applyBorder="1" applyAlignment="1">
      <alignment horizontal="center"/>
    </xf>
    <xf numFmtId="10" fontId="6" fillId="0" borderId="9" xfId="0" applyNumberFormat="1" applyFont="1" applyBorder="1" applyAlignment="1">
      <alignment horizontal="center" vertical="center"/>
    </xf>
    <xf numFmtId="1" fontId="7" fillId="0" borderId="9"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7" fillId="6" borderId="84" xfId="0" applyFont="1" applyFill="1" applyBorder="1" applyAlignment="1">
      <alignment horizontal="left" vertical="top" wrapText="1"/>
    </xf>
    <xf numFmtId="0" fontId="27" fillId="6" borderId="85" xfId="0" applyFont="1" applyFill="1" applyBorder="1" applyAlignment="1">
      <alignment horizontal="left" vertical="top" wrapText="1"/>
    </xf>
    <xf numFmtId="0" fontId="27" fillId="6" borderId="83" xfId="0" applyFont="1" applyFill="1" applyBorder="1" applyAlignment="1">
      <alignment horizontal="left" vertical="top" wrapText="1"/>
    </xf>
    <xf numFmtId="0" fontId="27" fillId="6" borderId="86" xfId="0" applyFont="1" applyFill="1" applyBorder="1" applyAlignment="1">
      <alignment horizontal="left" vertical="top" wrapText="1"/>
    </xf>
    <xf numFmtId="0" fontId="27" fillId="6" borderId="0" xfId="0" applyFont="1" applyFill="1" applyAlignment="1">
      <alignment horizontal="left" vertical="top" wrapText="1"/>
    </xf>
    <xf numFmtId="0" fontId="27" fillId="6" borderId="61" xfId="0" applyFont="1" applyFill="1" applyBorder="1" applyAlignment="1">
      <alignment horizontal="left" vertical="top" wrapText="1"/>
    </xf>
    <xf numFmtId="0" fontId="27" fillId="6" borderId="87" xfId="0" applyFont="1" applyFill="1" applyBorder="1" applyAlignment="1">
      <alignment horizontal="left" vertical="top" wrapText="1"/>
    </xf>
    <xf numFmtId="0" fontId="27" fillId="6" borderId="88" xfId="0" applyFont="1" applyFill="1" applyBorder="1" applyAlignment="1">
      <alignment horizontal="left" vertical="top" wrapText="1"/>
    </xf>
    <xf numFmtId="0" fontId="27" fillId="6" borderId="80" xfId="0" applyFont="1" applyFill="1" applyBorder="1" applyAlignment="1">
      <alignment horizontal="left" vertical="top"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xf numFmtId="0" fontId="4" fillId="0" borderId="3" xfId="0" applyFont="1" applyBorder="1"/>
    <xf numFmtId="0" fontId="4" fillId="0" borderId="89" xfId="0" applyFont="1" applyBorder="1" applyAlignment="1">
      <alignment horizontal="center" vertical="center" wrapText="1"/>
    </xf>
    <xf numFmtId="0" fontId="13" fillId="9" borderId="19"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22" fillId="6" borderId="84" xfId="0" applyFont="1" applyFill="1" applyBorder="1" applyAlignment="1">
      <alignment horizontal="left" vertical="top" wrapText="1"/>
    </xf>
    <xf numFmtId="0" fontId="22" fillId="6" borderId="85" xfId="0" applyFont="1" applyFill="1" applyBorder="1" applyAlignment="1">
      <alignment horizontal="left" vertical="top" wrapText="1"/>
    </xf>
    <xf numFmtId="0" fontId="22" fillId="6" borderId="83" xfId="0" applyFont="1" applyFill="1" applyBorder="1" applyAlignment="1">
      <alignment horizontal="left" vertical="top" wrapText="1"/>
    </xf>
    <xf numFmtId="0" fontId="22" fillId="6" borderId="86" xfId="0" applyFont="1" applyFill="1" applyBorder="1" applyAlignment="1">
      <alignment horizontal="left" vertical="top" wrapText="1"/>
    </xf>
    <xf numFmtId="0" fontId="22" fillId="6" borderId="0" xfId="0" applyFont="1" applyFill="1" applyAlignment="1">
      <alignment horizontal="left" vertical="top" wrapText="1"/>
    </xf>
    <xf numFmtId="0" fontId="22" fillId="6" borderId="61" xfId="0" applyFont="1" applyFill="1" applyBorder="1" applyAlignment="1">
      <alignment horizontal="left" vertical="top" wrapText="1"/>
    </xf>
    <xf numFmtId="0" fontId="22" fillId="6" borderId="87" xfId="0" applyFont="1" applyFill="1" applyBorder="1" applyAlignment="1">
      <alignment horizontal="left" vertical="top" wrapText="1"/>
    </xf>
    <xf numFmtId="0" fontId="22" fillId="6" borderId="88" xfId="0" applyFont="1" applyFill="1" applyBorder="1" applyAlignment="1">
      <alignment horizontal="left" vertical="top" wrapText="1"/>
    </xf>
    <xf numFmtId="0" fontId="22" fillId="6" borderId="80" xfId="0" applyFont="1" applyFill="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8" borderId="19"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7" fillId="5" borderId="30" xfId="0" applyFont="1" applyFill="1" applyBorder="1" applyAlignment="1">
      <alignment horizontal="center" vertical="center" indent="1"/>
    </xf>
    <xf numFmtId="0" fontId="7" fillId="5" borderId="27" xfId="0" applyFont="1" applyFill="1" applyBorder="1" applyAlignment="1">
      <alignment horizontal="center" vertical="center" inden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21" fillId="2" borderId="63" xfId="0" applyFont="1" applyFill="1" applyBorder="1" applyAlignment="1">
      <alignment horizontal="center" vertical="center"/>
    </xf>
    <xf numFmtId="0" fontId="21" fillId="2" borderId="64" xfId="0" applyFont="1" applyFill="1" applyBorder="1" applyAlignment="1">
      <alignment horizontal="center" vertical="center"/>
    </xf>
    <xf numFmtId="0" fontId="22" fillId="6" borderId="22" xfId="0" applyFont="1" applyFill="1" applyBorder="1" applyAlignment="1">
      <alignment vertical="top" wrapText="1"/>
    </xf>
    <xf numFmtId="0" fontId="1" fillId="6" borderId="23" xfId="0" applyFont="1" applyFill="1" applyBorder="1" applyAlignment="1">
      <alignment vertical="top" wrapText="1"/>
    </xf>
    <xf numFmtId="0" fontId="1" fillId="6" borderId="24" xfId="0" applyFont="1" applyFill="1" applyBorder="1" applyAlignment="1">
      <alignment vertical="top" wrapText="1"/>
    </xf>
    <xf numFmtId="0" fontId="1" fillId="6" borderId="11" xfId="0" applyFont="1" applyFill="1" applyBorder="1" applyAlignment="1">
      <alignment vertical="top" wrapText="1"/>
    </xf>
    <xf numFmtId="0" fontId="1" fillId="6" borderId="0" xfId="0" applyFont="1" applyFill="1" applyAlignment="1">
      <alignment vertical="top" wrapText="1"/>
    </xf>
    <xf numFmtId="0" fontId="1" fillId="6" borderId="12" xfId="0" applyFont="1" applyFill="1" applyBorder="1" applyAlignment="1">
      <alignment vertical="top" wrapText="1"/>
    </xf>
    <xf numFmtId="0" fontId="1" fillId="6" borderId="13" xfId="0" applyFont="1" applyFill="1" applyBorder="1" applyAlignment="1">
      <alignment vertical="top" wrapText="1"/>
    </xf>
    <xf numFmtId="0" fontId="1" fillId="6" borderId="25" xfId="0" applyFont="1" applyFill="1" applyBorder="1" applyAlignment="1">
      <alignment vertical="top" wrapText="1"/>
    </xf>
    <xf numFmtId="0" fontId="1" fillId="6" borderId="14" xfId="0" applyFont="1" applyFill="1" applyBorder="1" applyAlignment="1">
      <alignment vertical="top"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7" fillId="5" borderId="29" xfId="0" applyFont="1" applyFill="1" applyBorder="1" applyAlignment="1">
      <alignment horizontal="right" vertical="top" wrapText="1"/>
    </xf>
    <xf numFmtId="0" fontId="7" fillId="5" borderId="24" xfId="0" applyFont="1" applyFill="1" applyBorder="1" applyAlignment="1">
      <alignment horizontal="right" vertical="top" wrapText="1"/>
    </xf>
    <xf numFmtId="0" fontId="7" fillId="5" borderId="30" xfId="0" applyFont="1" applyFill="1" applyBorder="1" applyAlignment="1">
      <alignment horizontal="right" vertical="top" wrapText="1"/>
    </xf>
    <xf numFmtId="0" fontId="7" fillId="5" borderId="12" xfId="0" applyFont="1" applyFill="1" applyBorder="1" applyAlignment="1">
      <alignment horizontal="right" vertical="top" wrapText="1"/>
    </xf>
    <xf numFmtId="0" fontId="7" fillId="5" borderId="36" xfId="0" quotePrefix="1" applyFont="1" applyFill="1" applyBorder="1" applyAlignment="1">
      <alignment horizontal="right" vertical="top" wrapText="1"/>
    </xf>
    <xf numFmtId="0" fontId="7" fillId="5" borderId="40" xfId="0" quotePrefix="1" applyFont="1" applyFill="1" applyBorder="1" applyAlignment="1">
      <alignment horizontal="right" vertical="top" wrapText="1"/>
    </xf>
    <xf numFmtId="0" fontId="7" fillId="5" borderId="38" xfId="0" quotePrefix="1" applyFont="1" applyFill="1" applyBorder="1" applyAlignment="1">
      <alignment horizontal="right" vertical="top" wrapText="1"/>
    </xf>
    <xf numFmtId="0" fontId="7" fillId="5" borderId="41" xfId="0" quotePrefix="1" applyFont="1" applyFill="1" applyBorder="1" applyAlignment="1">
      <alignment horizontal="right" vertical="top"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wrapText="1"/>
    </xf>
    <xf numFmtId="0" fontId="22" fillId="6" borderId="53" xfId="0" applyFont="1" applyFill="1" applyBorder="1" applyAlignment="1">
      <alignment horizontal="left" vertical="top" wrapText="1"/>
    </xf>
    <xf numFmtId="0" fontId="22" fillId="6" borderId="54" xfId="0" applyFont="1" applyFill="1" applyBorder="1" applyAlignment="1">
      <alignment horizontal="left" vertical="top" wrapText="1"/>
    </xf>
    <xf numFmtId="0" fontId="22" fillId="6" borderId="55" xfId="0" applyFont="1" applyFill="1" applyBorder="1" applyAlignment="1">
      <alignment horizontal="left" vertical="top" wrapText="1"/>
    </xf>
    <xf numFmtId="0" fontId="22" fillId="6" borderId="56" xfId="0" applyFont="1" applyFill="1" applyBorder="1" applyAlignment="1">
      <alignment horizontal="left" vertical="top" wrapText="1"/>
    </xf>
    <xf numFmtId="0" fontId="22" fillId="6" borderId="57" xfId="0" applyFont="1" applyFill="1" applyBorder="1" applyAlignment="1">
      <alignment horizontal="left" vertical="top" wrapText="1"/>
    </xf>
    <xf numFmtId="0" fontId="22" fillId="6" borderId="58" xfId="0" applyFont="1" applyFill="1" applyBorder="1" applyAlignment="1">
      <alignment horizontal="left" vertical="top" wrapText="1"/>
    </xf>
    <xf numFmtId="0" fontId="22" fillId="6" borderId="59" xfId="0" applyFont="1" applyFill="1" applyBorder="1" applyAlignment="1">
      <alignment horizontal="left" vertical="top" wrapText="1"/>
    </xf>
    <xf numFmtId="0" fontId="22" fillId="6" borderId="60" xfId="0" applyFont="1" applyFill="1" applyBorder="1" applyAlignment="1">
      <alignment horizontal="left" vertical="top" wrapText="1"/>
    </xf>
    <xf numFmtId="0" fontId="7" fillId="5" borderId="84" xfId="0" applyFont="1" applyFill="1" applyBorder="1" applyAlignment="1">
      <alignment horizontal="left" vertical="center"/>
    </xf>
    <xf numFmtId="0" fontId="7" fillId="5" borderId="85" xfId="0" applyFont="1" applyFill="1" applyBorder="1" applyAlignment="1">
      <alignment horizontal="left" vertical="center"/>
    </xf>
    <xf numFmtId="0" fontId="7" fillId="5" borderId="86" xfId="0" applyFont="1" applyFill="1" applyBorder="1" applyAlignment="1">
      <alignment horizontal="left" vertical="center"/>
    </xf>
    <xf numFmtId="0" fontId="7" fillId="5" borderId="0" xfId="0" applyFont="1" applyFill="1" applyAlignment="1">
      <alignment horizontal="left" vertical="center"/>
    </xf>
    <xf numFmtId="0" fontId="7" fillId="5" borderId="87" xfId="0" applyFont="1" applyFill="1" applyBorder="1" applyAlignment="1">
      <alignment horizontal="left" vertical="center"/>
    </xf>
    <xf numFmtId="0" fontId="7" fillId="5" borderId="88" xfId="0" applyFont="1" applyFill="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16" borderId="88" xfId="0" applyFont="1" applyFill="1" applyBorder="1" applyAlignment="1">
      <alignment horizontal="center" vertical="center" wrapText="1"/>
    </xf>
    <xf numFmtId="0" fontId="2" fillId="0" borderId="0" xfId="0" applyFont="1" applyAlignment="1">
      <alignment horizontal="center" vertical="center" wrapText="1"/>
    </xf>
    <xf numFmtId="0" fontId="34" fillId="16" borderId="0" xfId="0" applyFont="1" applyFill="1" applyAlignment="1">
      <alignment horizontal="center" wrapText="1"/>
    </xf>
    <xf numFmtId="0" fontId="24" fillId="6" borderId="84" xfId="0" applyFont="1" applyFill="1" applyBorder="1" applyAlignment="1">
      <alignment horizontal="left" vertical="center" wrapText="1"/>
    </xf>
    <xf numFmtId="0" fontId="24" fillId="6" borderId="85" xfId="0" applyFont="1" applyFill="1" applyBorder="1" applyAlignment="1">
      <alignment horizontal="left" vertical="center" wrapText="1"/>
    </xf>
    <xf numFmtId="0" fontId="24" fillId="6" borderId="83" xfId="0" applyFont="1" applyFill="1" applyBorder="1" applyAlignment="1">
      <alignment horizontal="left" vertical="center" wrapText="1"/>
    </xf>
    <xf numFmtId="0" fontId="24" fillId="6" borderId="87" xfId="0" applyFont="1" applyFill="1" applyBorder="1" applyAlignment="1">
      <alignment horizontal="left" vertical="center" wrapText="1"/>
    </xf>
    <xf numFmtId="0" fontId="24" fillId="6" borderId="88" xfId="0" applyFont="1" applyFill="1" applyBorder="1" applyAlignment="1">
      <alignment horizontal="left" vertical="center" wrapText="1"/>
    </xf>
    <xf numFmtId="0" fontId="24" fillId="6" borderId="80"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ont>
        <color rgb="FFC00000"/>
      </font>
      <fill>
        <patternFill>
          <bgColor rgb="FFFFCCCC"/>
        </patternFill>
      </fill>
    </dxf>
    <dxf>
      <font>
        <color rgb="FFC00000"/>
      </font>
      <fill>
        <patternFill>
          <bgColor rgb="FFFFCCCC"/>
        </patternFill>
      </fill>
    </dxf>
  </dxfs>
  <tableStyles count="0" defaultTableStyle="TableStyleMedium2" defaultPivotStyle="PivotStyleLight16"/>
  <colors>
    <mruColors>
      <color rgb="FF0000FF"/>
      <color rgb="FF0099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ichele Oberholtzer" id="{132A1B9D-312C-4667-BEFA-3101D773A250}" userId="S::michele.oberholtzer@detroitmi.gov::97098acf-421b-4a66-9776-38181f8afb3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D13" dT="2025-05-05T17:48:38.89" personId="{132A1B9D-312C-4667-BEFA-3101D773A250}" id="{7090AA4C-D5EF-4F02-9FE7-07B69351293F}">
    <text>Enter as a negative value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A9B8-FFB7-4CEC-A2B6-B874360BABB5}">
  <dimension ref="B1:AA76"/>
  <sheetViews>
    <sheetView showGridLines="0" tabSelected="1" zoomScaleNormal="100" workbookViewId="0">
      <selection activeCell="D13" sqref="D13"/>
    </sheetView>
  </sheetViews>
  <sheetFormatPr defaultColWidth="15.6640625" defaultRowHeight="13.8" x14ac:dyDescent="0.3"/>
  <cols>
    <col min="1" max="1" width="2.6640625" style="1" customWidth="1"/>
    <col min="2" max="2" width="15.6640625" style="1"/>
    <col min="3" max="3" width="20.6640625" style="1" customWidth="1"/>
    <col min="4" max="4" width="38.109375" style="1" customWidth="1"/>
    <col min="5" max="6" width="15.6640625" style="1"/>
    <col min="7" max="7" width="21.109375" style="1" customWidth="1"/>
    <col min="8" max="11" width="15.6640625" style="1"/>
    <col min="12" max="12" width="17" style="1" bestFit="1" customWidth="1"/>
    <col min="13" max="16384" width="15.6640625" style="1"/>
  </cols>
  <sheetData>
    <row r="1" spans="2:9" s="4" customFormat="1" ht="15.6" x14ac:dyDescent="0.3">
      <c r="B1" s="4" t="s">
        <v>0</v>
      </c>
    </row>
    <row r="2" spans="2:9" s="5" customFormat="1" ht="15" customHeight="1" x14ac:dyDescent="0.3">
      <c r="B2" s="5" t="s">
        <v>1</v>
      </c>
    </row>
    <row r="3" spans="2:9" s="5" customFormat="1" ht="15" customHeight="1" x14ac:dyDescent="0.3"/>
    <row r="4" spans="2:9" s="5" customFormat="1" ht="15" customHeight="1" x14ac:dyDescent="0.3">
      <c r="B4" s="559" t="s">
        <v>2</v>
      </c>
      <c r="C4" s="560"/>
      <c r="D4" s="560"/>
      <c r="E4" s="560"/>
      <c r="F4" s="560"/>
      <c r="G4" s="560"/>
      <c r="H4" s="561"/>
    </row>
    <row r="5" spans="2:9" s="5" customFormat="1" ht="15" customHeight="1" x14ac:dyDescent="0.3">
      <c r="B5" s="562"/>
      <c r="C5" s="563"/>
      <c r="D5" s="563"/>
      <c r="E5" s="563"/>
      <c r="F5" s="563"/>
      <c r="G5" s="563"/>
      <c r="H5" s="564"/>
    </row>
    <row r="6" spans="2:9" s="5" customFormat="1" ht="15" customHeight="1" x14ac:dyDescent="0.3">
      <c r="B6" s="565"/>
      <c r="C6" s="566"/>
      <c r="D6" s="566"/>
      <c r="E6" s="566"/>
      <c r="F6" s="566"/>
      <c r="G6" s="566"/>
      <c r="H6" s="567"/>
    </row>
    <row r="7" spans="2:9" s="5" customFormat="1" ht="15" customHeight="1" x14ac:dyDescent="0.3">
      <c r="B7" s="60"/>
    </row>
    <row r="8" spans="2:9" s="5" customFormat="1" ht="15" customHeight="1" x14ac:dyDescent="0.3">
      <c r="B8" s="61" t="s">
        <v>3</v>
      </c>
      <c r="C8" s="194" t="s">
        <v>4</v>
      </c>
      <c r="D8" s="62" t="s">
        <v>5</v>
      </c>
      <c r="E8" s="63" t="s">
        <v>6</v>
      </c>
    </row>
    <row r="11" spans="2:9" x14ac:dyDescent="0.3">
      <c r="B11" s="513" t="s">
        <v>7</v>
      </c>
      <c r="C11" s="514"/>
      <c r="D11" s="516"/>
      <c r="E11" s="5"/>
      <c r="G11" s="556" t="s">
        <v>8</v>
      </c>
      <c r="H11" s="557"/>
      <c r="I11" s="558"/>
    </row>
    <row r="12" spans="2:9" ht="12.75" customHeight="1" x14ac:dyDescent="0.3">
      <c r="B12" s="504" t="s">
        <v>9</v>
      </c>
      <c r="C12" s="505"/>
      <c r="D12" s="506"/>
      <c r="E12" s="5"/>
      <c r="G12" s="553" t="s">
        <v>10</v>
      </c>
      <c r="H12" s="553" t="s">
        <v>11</v>
      </c>
      <c r="I12" s="553" t="s">
        <v>12</v>
      </c>
    </row>
    <row r="13" spans="2:9" x14ac:dyDescent="0.3">
      <c r="B13" s="507" t="s">
        <v>13</v>
      </c>
      <c r="C13" s="5"/>
      <c r="D13" s="508"/>
      <c r="E13" s="359" t="str">
        <f ca="1">IFERROR(AND('Unit Summary - Rent Roll'!$K$127&lt;=INDEX(List!$AE:$AE,MATCH($D13,List!$AC:$AC,0)),'Unit Summary - Rent Roll'!$K$127&gt;=INDEX(List!$AD:$AD,MATCH($D13,List!$AC:$AC,0))),"NA")</f>
        <v>NA</v>
      </c>
      <c r="G13" s="554"/>
      <c r="H13" s="554"/>
      <c r="I13" s="554"/>
    </row>
    <row r="14" spans="2:9" x14ac:dyDescent="0.3">
      <c r="B14" s="507" t="s">
        <v>14</v>
      </c>
      <c r="C14" s="502"/>
      <c r="D14" s="509"/>
      <c r="E14" s="5"/>
      <c r="G14" s="572"/>
      <c r="H14" s="555"/>
      <c r="I14" s="555"/>
    </row>
    <row r="15" spans="2:9" ht="13.5" customHeight="1" x14ac:dyDescent="0.3">
      <c r="B15" s="507" t="s">
        <v>15</v>
      </c>
      <c r="C15" s="502"/>
      <c r="D15" s="509"/>
      <c r="E15" s="359"/>
      <c r="G15" s="368">
        <v>1.2</v>
      </c>
      <c r="H15" s="290" t="s">
        <v>16</v>
      </c>
      <c r="I15" s="291">
        <v>3.5000000000000003E-2</v>
      </c>
    </row>
    <row r="16" spans="2:9" x14ac:dyDescent="0.3">
      <c r="B16" s="507" t="s">
        <v>17</v>
      </c>
      <c r="C16" s="502"/>
      <c r="D16" s="509"/>
      <c r="E16" s="359"/>
      <c r="G16" s="440">
        <v>0.8</v>
      </c>
      <c r="H16" s="292">
        <v>0.04</v>
      </c>
      <c r="I16" s="179">
        <v>0.02</v>
      </c>
    </row>
    <row r="17" spans="2:18" ht="15" customHeight="1" x14ac:dyDescent="0.3">
      <c r="B17" s="507" t="s">
        <v>18</v>
      </c>
      <c r="C17" s="502"/>
      <c r="D17" s="515" t="str">
        <f>IF(OR(D12="",D13="",D14=""),"",IF(D14="Y","GAHP - Government-Aided Housing Project",IF(AND(D12="Long Term Vacant Rehab",D13="81% - 120% AMI"),"FTHP - Fast Track Housing Project",IF(OR(D13="Up to 60% AMI",D13="61% - 80% AMI"),"FTHP - Fast Track Housing Project","SWHP - Standard Workforce Housing Project"))))</f>
        <v/>
      </c>
      <c r="E17" s="5"/>
      <c r="G17" s="318" t="s">
        <v>19</v>
      </c>
      <c r="H17" s="319">
        <v>0.01</v>
      </c>
      <c r="I17" s="441">
        <v>5.0000000000000001E-3</v>
      </c>
    </row>
    <row r="18" spans="2:18" ht="13.95" customHeight="1" x14ac:dyDescent="0.3">
      <c r="B18" s="510" t="s">
        <v>20</v>
      </c>
      <c r="C18" s="511"/>
      <c r="D18" s="512" t="str">
        <f>IF(OR(D12="",D13=""),"",IF(AND(D12="Long Term Vacant Rehab",D13="Up to 60% AMI"),I17,IF(AND(D12="Long Term Vacant Rehab",D13="61% - 80% AMI"),I16,IF(AND(D12="Long Term Vacant Rehab",D13="81% - 120% AMI"),I15,IF(D13="Up to 60% AMI",H17,IF(D13="61% - 80% AMI",H16,H15))))))</f>
        <v/>
      </c>
      <c r="E18" s="5"/>
    </row>
    <row r="19" spans="2:18" x14ac:dyDescent="0.3">
      <c r="G19" s="367"/>
      <c r="H19" s="367"/>
    </row>
    <row r="21" spans="2:18" x14ac:dyDescent="0.3">
      <c r="B21" s="32" t="s">
        <v>21</v>
      </c>
      <c r="C21" s="33"/>
      <c r="D21" s="34"/>
      <c r="F21" s="6" t="s">
        <v>22</v>
      </c>
      <c r="G21" s="9"/>
      <c r="H21" s="9"/>
      <c r="I21" s="9"/>
      <c r="J21" s="77"/>
      <c r="L21" s="6" t="s">
        <v>23</v>
      </c>
      <c r="M21" s="9"/>
      <c r="N21" s="9"/>
      <c r="O21" s="9"/>
      <c r="P21" s="9"/>
      <c r="Q21" s="9"/>
      <c r="R21" s="77"/>
    </row>
    <row r="22" spans="2:18" x14ac:dyDescent="0.3">
      <c r="B22" s="568" t="s">
        <v>24</v>
      </c>
      <c r="C22" s="569"/>
      <c r="D22" s="540" t="s">
        <v>25</v>
      </c>
      <c r="F22" s="570" t="s">
        <v>24</v>
      </c>
      <c r="G22" s="571"/>
      <c r="H22" s="307" t="s">
        <v>26</v>
      </c>
      <c r="I22" s="307" t="s">
        <v>27</v>
      </c>
      <c r="J22" s="307" t="s">
        <v>28</v>
      </c>
      <c r="L22" s="307" t="s">
        <v>29</v>
      </c>
      <c r="M22" s="307" t="s">
        <v>30</v>
      </c>
      <c r="N22" s="307" t="s">
        <v>31</v>
      </c>
      <c r="O22" s="307" t="s">
        <v>32</v>
      </c>
      <c r="P22" s="307" t="s">
        <v>33</v>
      </c>
      <c r="Q22" s="307" t="s">
        <v>34</v>
      </c>
      <c r="R22" s="307" t="s">
        <v>35</v>
      </c>
    </row>
    <row r="23" spans="2:18" x14ac:dyDescent="0.3">
      <c r="B23" s="23" t="s">
        <v>36</v>
      </c>
      <c r="C23" s="27"/>
      <c r="D23" s="195"/>
      <c r="F23" s="261" t="s">
        <v>37</v>
      </c>
      <c r="G23" s="262"/>
      <c r="H23" s="263"/>
      <c r="I23" s="263"/>
      <c r="J23" s="264"/>
      <c r="L23" s="436" t="s">
        <v>38</v>
      </c>
      <c r="M23" s="429" t="str">
        <f>IF(SUMIFS('Unit Summary - Rent Roll'!$H$27:$H$126,'Unit Summary - Rent Roll'!$E$27:$E$126,Overview!M$22,'Unit Summary - Rent Roll'!$K$27:$K$126,Overview!$L23)=0,"",SUMIFS('Unit Summary - Rent Roll'!$H$27:$H$126,'Unit Summary - Rent Roll'!$E$27:$E$126,Overview!M$22,'Unit Summary - Rent Roll'!$K$27:$K$126,Overview!$L23))</f>
        <v/>
      </c>
      <c r="N23" s="429" t="str">
        <f>IF(SUMIFS('Unit Summary - Rent Roll'!$H$27:$H$126,'Unit Summary - Rent Roll'!$E$27:$E$126,Overview!N$22,'Unit Summary - Rent Roll'!$K$27:$K$126,Overview!$L23)=0,"",SUMIFS('Unit Summary - Rent Roll'!$H$27:$H$126,'Unit Summary - Rent Roll'!$E$27:$E$126,Overview!N$22,'Unit Summary - Rent Roll'!$K$27:$K$126,Overview!$L23))</f>
        <v/>
      </c>
      <c r="O23" s="429" t="str">
        <f>IF(SUMIFS('Unit Summary - Rent Roll'!$H$27:$H$126,'Unit Summary - Rent Roll'!$E$27:$E$126,Overview!O$22,'Unit Summary - Rent Roll'!$K$27:$K$126,Overview!$L23)=0,"",SUMIFS('Unit Summary - Rent Roll'!$H$27:$H$126,'Unit Summary - Rent Roll'!$E$27:$E$126,Overview!O$22,'Unit Summary - Rent Roll'!$K$27:$K$126,Overview!$L23))</f>
        <v/>
      </c>
      <c r="P23" s="429" t="str">
        <f>IF(SUMIFS('Unit Summary - Rent Roll'!$H$27:$H$126,'Unit Summary - Rent Roll'!$E$27:$E$126,Overview!P$22,'Unit Summary - Rent Roll'!$K$27:$K$126,Overview!$L23)=0,"",SUMIFS('Unit Summary - Rent Roll'!$H$27:$H$126,'Unit Summary - Rent Roll'!$E$27:$E$126,Overview!P$22,'Unit Summary - Rent Roll'!$K$27:$K$126,Overview!$L23))</f>
        <v/>
      </c>
      <c r="Q23" s="439" t="str">
        <f>IF(SUMIFS('Unit Summary - Rent Roll'!$H$27:$H$126,'Unit Summary - Rent Roll'!$E$27:$E$126,Overview!Q$22,'Unit Summary - Rent Roll'!$K$27:$K$126,Overview!$L23)=0,"",SUMIFS('Unit Summary - Rent Roll'!$H$27:$H$126,'Unit Summary - Rent Roll'!$E$27:$E$126,Overview!Q$22,'Unit Summary - Rent Roll'!$K$27:$K$126,Overview!$L23))</f>
        <v/>
      </c>
      <c r="R23" s="435">
        <f t="shared" ref="R23:R34" si="0">SUM(M23:Q23)</f>
        <v>0</v>
      </c>
    </row>
    <row r="24" spans="2:18" x14ac:dyDescent="0.3">
      <c r="B24" s="501" t="s">
        <v>39</v>
      </c>
      <c r="C24" s="28"/>
      <c r="D24" s="196"/>
      <c r="F24" s="15" t="s">
        <v>40</v>
      </c>
      <c r="H24" s="269">
        <f>IF($D$17="Standard Workforce Housing (SWHP)",'Financials- SWHP'!P30,'Financials-FTHP &amp; GAHP'!M31)</f>
        <v>0</v>
      </c>
      <c r="I24" s="269">
        <f>IFERROR(H24/$D$31,0)</f>
        <v>0</v>
      </c>
      <c r="J24" s="309">
        <f>IFERROR(H24/$H$32,0)</f>
        <v>0</v>
      </c>
      <c r="L24" s="436">
        <v>0.2</v>
      </c>
      <c r="M24" s="429" t="str">
        <f>IF(SUMIFS('Unit Summary - Rent Roll'!$H$27:$H$126,'Unit Summary - Rent Roll'!$E$27:$E$126,Overview!M$22,'Unit Summary - Rent Roll'!$K$27:$K$126,Overview!$L24)=0,"",SUMIFS('Unit Summary - Rent Roll'!$H$27:$H$126,'Unit Summary - Rent Roll'!$E$27:$E$126,Overview!M$22,'Unit Summary - Rent Roll'!$K$27:$K$126,Overview!$L24))</f>
        <v/>
      </c>
      <c r="N24" s="429" t="str">
        <f>IF(SUMIFS('Unit Summary - Rent Roll'!$H$27:$H$126,'Unit Summary - Rent Roll'!$E$27:$E$126,Overview!N$22,'Unit Summary - Rent Roll'!$K$27:$K$126,Overview!$L24)=0,"",SUMIFS('Unit Summary - Rent Roll'!$H$27:$H$126,'Unit Summary - Rent Roll'!$E$27:$E$126,Overview!N$22,'Unit Summary - Rent Roll'!$K$27:$K$126,Overview!$L24))</f>
        <v/>
      </c>
      <c r="O24" s="429" t="str">
        <f>IF(SUMIFS('Unit Summary - Rent Roll'!$H$27:$H$126,'Unit Summary - Rent Roll'!$E$27:$E$126,Overview!O$22,'Unit Summary - Rent Roll'!$K$27:$K$126,Overview!$L24)=0,"",SUMIFS('Unit Summary - Rent Roll'!$H$27:$H$126,'Unit Summary - Rent Roll'!$E$27:$E$126,Overview!O$22,'Unit Summary - Rent Roll'!$K$27:$K$126,Overview!$L24))</f>
        <v/>
      </c>
      <c r="P24" s="429" t="str">
        <f>IF(SUMIFS('Unit Summary - Rent Roll'!$H$27:$H$126,'Unit Summary - Rent Roll'!$E$27:$E$126,Overview!P$22,'Unit Summary - Rent Roll'!$K$27:$K$126,Overview!$L24)=0,"",SUMIFS('Unit Summary - Rent Roll'!$H$27:$H$126,'Unit Summary - Rent Roll'!$E$27:$E$126,Overview!P$22,'Unit Summary - Rent Roll'!$K$27:$K$126,Overview!$L24))</f>
        <v/>
      </c>
      <c r="Q24" s="439" t="str">
        <f>IF(SUMIFS('Unit Summary - Rent Roll'!$H$27:$H$126,'Unit Summary - Rent Roll'!$E$27:$E$126,Overview!Q$22,'Unit Summary - Rent Roll'!$K$27:$K$126,Overview!$L24)=0,"",SUMIFS('Unit Summary - Rent Roll'!$H$27:$H$126,'Unit Summary - Rent Roll'!$E$27:$E$126,Overview!Q$22,'Unit Summary - Rent Roll'!$K$27:$K$126,Overview!$L24))</f>
        <v/>
      </c>
      <c r="R24" s="437">
        <f t="shared" si="0"/>
        <v>0</v>
      </c>
    </row>
    <row r="25" spans="2:18" x14ac:dyDescent="0.3">
      <c r="B25" s="501"/>
      <c r="C25" s="28"/>
      <c r="D25" s="64"/>
      <c r="F25" s="15" t="s">
        <v>41</v>
      </c>
      <c r="H25" s="269">
        <f>IF($D$17="Standard Workforce Housing (SWHP)",SUM('Financials- SWHP'!P26:P27),SUM('Financials-FTHP &amp; GAHP'!M27:M28))</f>
        <v>0</v>
      </c>
      <c r="I25" s="269">
        <f t="shared" ref="I25:I32" si="1">IFERROR(H25/$D$31,0)</f>
        <v>0</v>
      </c>
      <c r="J25" s="309">
        <f t="shared" ref="J25:J32" si="2">IFERROR(H25/$H$32,0)</f>
        <v>0</v>
      </c>
      <c r="L25" s="436">
        <v>0.25</v>
      </c>
      <c r="M25" s="429" t="str">
        <f>IF(SUMIFS('Unit Summary - Rent Roll'!$H$27:$H$126,'Unit Summary - Rent Roll'!$E$27:$E$126,Overview!M$22,'Unit Summary - Rent Roll'!$K$27:$K$126,Overview!$L25)=0,"",SUMIFS('Unit Summary - Rent Roll'!$H$27:$H$126,'Unit Summary - Rent Roll'!$E$27:$E$126,Overview!M$22,'Unit Summary - Rent Roll'!$K$27:$K$126,Overview!$L25))</f>
        <v/>
      </c>
      <c r="N25" s="429" t="str">
        <f>IF(SUMIFS('Unit Summary - Rent Roll'!$H$27:$H$126,'Unit Summary - Rent Roll'!$E$27:$E$126,Overview!N$22,'Unit Summary - Rent Roll'!$K$27:$K$126,Overview!$L25)=0,"",SUMIFS('Unit Summary - Rent Roll'!$H$27:$H$126,'Unit Summary - Rent Roll'!$E$27:$E$126,Overview!N$22,'Unit Summary - Rent Roll'!$K$27:$K$126,Overview!$L25))</f>
        <v/>
      </c>
      <c r="O25" s="429" t="str">
        <f>IF(SUMIFS('Unit Summary - Rent Roll'!$H$27:$H$126,'Unit Summary - Rent Roll'!$E$27:$E$126,Overview!O$22,'Unit Summary - Rent Roll'!$K$27:$K$126,Overview!$L25)=0,"",SUMIFS('Unit Summary - Rent Roll'!$H$27:$H$126,'Unit Summary - Rent Roll'!$E$27:$E$126,Overview!O$22,'Unit Summary - Rent Roll'!$K$27:$K$126,Overview!$L25))</f>
        <v/>
      </c>
      <c r="P25" s="429" t="str">
        <f>IF(SUMIFS('Unit Summary - Rent Roll'!$H$27:$H$126,'Unit Summary - Rent Roll'!$E$27:$E$126,Overview!P$22,'Unit Summary - Rent Roll'!$K$27:$K$126,Overview!$L25)=0,"",SUMIFS('Unit Summary - Rent Roll'!$H$27:$H$126,'Unit Summary - Rent Roll'!$E$27:$E$126,Overview!P$22,'Unit Summary - Rent Roll'!$K$27:$K$126,Overview!$L25))</f>
        <v/>
      </c>
      <c r="Q25" s="439" t="str">
        <f>IF(SUMIFS('Unit Summary - Rent Roll'!$H$27:$H$126,'Unit Summary - Rent Roll'!$E$27:$E$126,Overview!Q$22,'Unit Summary - Rent Roll'!$K$27:$K$126,Overview!$L25)=0,"",SUMIFS('Unit Summary - Rent Roll'!$H$27:$H$126,'Unit Summary - Rent Roll'!$E$27:$E$126,Overview!Q$22,'Unit Summary - Rent Roll'!$K$27:$K$126,Overview!$L25))</f>
        <v/>
      </c>
      <c r="R25" s="437">
        <f t="shared" si="0"/>
        <v>0</v>
      </c>
    </row>
    <row r="26" spans="2:18" x14ac:dyDescent="0.3">
      <c r="B26" s="501" t="s">
        <v>42</v>
      </c>
      <c r="C26" s="28"/>
      <c r="D26" s="197"/>
      <c r="F26" s="15" t="s">
        <v>43</v>
      </c>
      <c r="H26" s="269">
        <f>IF($D$17="Standard Workforce Housing (SWHP)",SUM('Financials- SWHP'!P24:P25),SUM('Financials-FTHP &amp; GAHP'!M25:M26))</f>
        <v>0</v>
      </c>
      <c r="I26" s="269">
        <f t="shared" si="1"/>
        <v>0</v>
      </c>
      <c r="J26" s="309">
        <f t="shared" si="2"/>
        <v>0</v>
      </c>
      <c r="L26" s="436">
        <v>0.3</v>
      </c>
      <c r="M26" s="429" t="str">
        <f>IF(SUMIFS('Unit Summary - Rent Roll'!$H$27:$H$126,'Unit Summary - Rent Roll'!$E$27:$E$126,Overview!M$22,'Unit Summary - Rent Roll'!$K$27:$K$126,Overview!$L26)=0,"",SUMIFS('Unit Summary - Rent Roll'!$H$27:$H$126,'Unit Summary - Rent Roll'!$E$27:$E$126,Overview!M$22,'Unit Summary - Rent Roll'!$K$27:$K$126,Overview!$L26))</f>
        <v/>
      </c>
      <c r="N26" s="429" t="str">
        <f>IF(SUMIFS('Unit Summary - Rent Roll'!$H$27:$H$126,'Unit Summary - Rent Roll'!$E$27:$E$126,Overview!N$22,'Unit Summary - Rent Roll'!$K$27:$K$126,Overview!$L26)=0,"",SUMIFS('Unit Summary - Rent Roll'!$H$27:$H$126,'Unit Summary - Rent Roll'!$E$27:$E$126,Overview!N$22,'Unit Summary - Rent Roll'!$K$27:$K$126,Overview!$L26))</f>
        <v/>
      </c>
      <c r="O26" s="429" t="str">
        <f>IF(SUMIFS('Unit Summary - Rent Roll'!$H$27:$H$126,'Unit Summary - Rent Roll'!$E$27:$E$126,Overview!O$22,'Unit Summary - Rent Roll'!$K$27:$K$126,Overview!$L26)=0,"",SUMIFS('Unit Summary - Rent Roll'!$H$27:$H$126,'Unit Summary - Rent Roll'!$E$27:$E$126,Overview!O$22,'Unit Summary - Rent Roll'!$K$27:$K$126,Overview!$L26))</f>
        <v/>
      </c>
      <c r="P26" s="429" t="str">
        <f>IF(SUMIFS('Unit Summary - Rent Roll'!$H$27:$H$126,'Unit Summary - Rent Roll'!$E$27:$E$126,Overview!P$22,'Unit Summary - Rent Roll'!$K$27:$K$126,Overview!$L26)=0,"",SUMIFS('Unit Summary - Rent Roll'!$H$27:$H$126,'Unit Summary - Rent Roll'!$E$27:$E$126,Overview!P$22,'Unit Summary - Rent Roll'!$K$27:$K$126,Overview!$L26))</f>
        <v/>
      </c>
      <c r="Q26" s="439" t="str">
        <f>IF(SUMIFS('Unit Summary - Rent Roll'!$H$27:$H$126,'Unit Summary - Rent Roll'!$E$27:$E$126,Overview!Q$22,'Unit Summary - Rent Roll'!$K$27:$K$126,Overview!$L26)=0,"",SUMIFS('Unit Summary - Rent Roll'!$H$27:$H$126,'Unit Summary - Rent Roll'!$E$27:$E$126,Overview!Q$22,'Unit Summary - Rent Roll'!$K$27:$K$126,Overview!$L26))</f>
        <v/>
      </c>
      <c r="R26" s="437">
        <f t="shared" si="0"/>
        <v>0</v>
      </c>
    </row>
    <row r="27" spans="2:18" x14ac:dyDescent="0.3">
      <c r="B27" s="501" t="s">
        <v>44</v>
      </c>
      <c r="C27" s="28"/>
      <c r="D27" s="198"/>
      <c r="F27" s="15" t="s">
        <v>45</v>
      </c>
      <c r="H27" s="269">
        <f>IF($D$17="Standard Workforce Housing (SWHP)",SUM('Financials- SWHP'!P17:P20),SUM('Financials-FTHP &amp; GAHP'!M18:M21))</f>
        <v>0</v>
      </c>
      <c r="I27" s="269">
        <f t="shared" si="1"/>
        <v>0</v>
      </c>
      <c r="J27" s="309">
        <f t="shared" si="2"/>
        <v>0</v>
      </c>
      <c r="L27" s="436">
        <v>0.35</v>
      </c>
      <c r="M27" s="429" t="str">
        <f>IF(SUMIFS('Unit Summary - Rent Roll'!$H$27:$H$126,'Unit Summary - Rent Roll'!$E$27:$E$126,Overview!M$22,'Unit Summary - Rent Roll'!$K$27:$K$126,Overview!$L27)=0,"",SUMIFS('Unit Summary - Rent Roll'!$H$27:$H$126,'Unit Summary - Rent Roll'!$E$27:$E$126,Overview!M$22,'Unit Summary - Rent Roll'!$K$27:$K$126,Overview!$L27))</f>
        <v/>
      </c>
      <c r="N27" s="429" t="str">
        <f>IF(SUMIFS('Unit Summary - Rent Roll'!$H$27:$H$126,'Unit Summary - Rent Roll'!$E$27:$E$126,Overview!N$22,'Unit Summary - Rent Roll'!$K$27:$K$126,Overview!$L27)=0,"",SUMIFS('Unit Summary - Rent Roll'!$H$27:$H$126,'Unit Summary - Rent Roll'!$E$27:$E$126,Overview!N$22,'Unit Summary - Rent Roll'!$K$27:$K$126,Overview!$L27))</f>
        <v/>
      </c>
      <c r="O27" s="429" t="str">
        <f>IF(SUMIFS('Unit Summary - Rent Roll'!$H$27:$H$126,'Unit Summary - Rent Roll'!$E$27:$E$126,Overview!O$22,'Unit Summary - Rent Roll'!$K$27:$K$126,Overview!$L27)=0,"",SUMIFS('Unit Summary - Rent Roll'!$H$27:$H$126,'Unit Summary - Rent Roll'!$E$27:$E$126,Overview!O$22,'Unit Summary - Rent Roll'!$K$27:$K$126,Overview!$L27))</f>
        <v/>
      </c>
      <c r="P27" s="429" t="str">
        <f>IF(SUMIFS('Unit Summary - Rent Roll'!$H$27:$H$126,'Unit Summary - Rent Roll'!$E$27:$E$126,Overview!P$22,'Unit Summary - Rent Roll'!$K$27:$K$126,Overview!$L27)=0,"",SUMIFS('Unit Summary - Rent Roll'!$H$27:$H$126,'Unit Summary - Rent Roll'!$E$27:$E$126,Overview!P$22,'Unit Summary - Rent Roll'!$K$27:$K$126,Overview!$L27))</f>
        <v/>
      </c>
      <c r="Q27" s="439" t="str">
        <f>IF(SUMIFS('Unit Summary - Rent Roll'!$H$27:$H$126,'Unit Summary - Rent Roll'!$E$27:$E$126,Overview!Q$22,'Unit Summary - Rent Roll'!$K$27:$K$126,Overview!$L27)=0,"",SUMIFS('Unit Summary - Rent Roll'!$H$27:$H$126,'Unit Summary - Rent Roll'!$E$27:$E$126,Overview!Q$22,'Unit Summary - Rent Roll'!$K$27:$K$126,Overview!$L27))</f>
        <v/>
      </c>
      <c r="R27" s="437">
        <f t="shared" si="0"/>
        <v>0</v>
      </c>
    </row>
    <row r="28" spans="2:18" x14ac:dyDescent="0.3">
      <c r="B28" s="501" t="s">
        <v>46</v>
      </c>
      <c r="C28" s="28"/>
      <c r="D28" s="65" t="str">
        <f>IF(OR(D26="",D27=""),"",EDATE(D26,D27)-1)</f>
        <v/>
      </c>
      <c r="F28" s="15" t="s">
        <v>47</v>
      </c>
      <c r="H28" s="269">
        <f>IF($D$17="Standard Workforce Housing (SWHP)",'Financials- SWHP'!P28,'Financials-FTHP &amp; GAHP'!M29)</f>
        <v>0</v>
      </c>
      <c r="I28" s="269">
        <f t="shared" si="1"/>
        <v>0</v>
      </c>
      <c r="J28" s="309">
        <f t="shared" si="2"/>
        <v>0</v>
      </c>
      <c r="L28" s="436">
        <v>0.4</v>
      </c>
      <c r="M28" s="429" t="str">
        <f>IF(SUMIFS('Unit Summary - Rent Roll'!$H$27:$H$126,'Unit Summary - Rent Roll'!$E$27:$E$126,Overview!M$22,'Unit Summary - Rent Roll'!$K$27:$K$126,Overview!$L28)=0,"",SUMIFS('Unit Summary - Rent Roll'!$H$27:$H$126,'Unit Summary - Rent Roll'!$E$27:$E$126,Overview!M$22,'Unit Summary - Rent Roll'!$K$27:$K$126,Overview!$L28))</f>
        <v/>
      </c>
      <c r="N28" s="429" t="str">
        <f>IF(SUMIFS('Unit Summary - Rent Roll'!$H$27:$H$126,'Unit Summary - Rent Roll'!$E$27:$E$126,Overview!N$22,'Unit Summary - Rent Roll'!$K$27:$K$126,Overview!$L28)=0,"",SUMIFS('Unit Summary - Rent Roll'!$H$27:$H$126,'Unit Summary - Rent Roll'!$E$27:$E$126,Overview!N$22,'Unit Summary - Rent Roll'!$K$27:$K$126,Overview!$L28))</f>
        <v/>
      </c>
      <c r="O28" s="429" t="str">
        <f>IF(SUMIFS('Unit Summary - Rent Roll'!$H$27:$H$126,'Unit Summary - Rent Roll'!$E$27:$E$126,Overview!O$22,'Unit Summary - Rent Roll'!$K$27:$K$126,Overview!$L28)=0,"",SUMIFS('Unit Summary - Rent Roll'!$H$27:$H$126,'Unit Summary - Rent Roll'!$E$27:$E$126,Overview!O$22,'Unit Summary - Rent Roll'!$K$27:$K$126,Overview!$L28))</f>
        <v/>
      </c>
      <c r="P28" s="429" t="str">
        <f>IF(SUMIFS('Unit Summary - Rent Roll'!$H$27:$H$126,'Unit Summary - Rent Roll'!$E$27:$E$126,Overview!P$22,'Unit Summary - Rent Roll'!$K$27:$K$126,Overview!$L28)=0,"",SUMIFS('Unit Summary - Rent Roll'!$H$27:$H$126,'Unit Summary - Rent Roll'!$E$27:$E$126,Overview!P$22,'Unit Summary - Rent Roll'!$K$27:$K$126,Overview!$L28))</f>
        <v/>
      </c>
      <c r="Q28" s="439" t="str">
        <f>IF(SUMIFS('Unit Summary - Rent Roll'!$H$27:$H$126,'Unit Summary - Rent Roll'!$E$27:$E$126,Overview!Q$22,'Unit Summary - Rent Roll'!$K$27:$K$126,Overview!$L28)=0,"",SUMIFS('Unit Summary - Rent Roll'!$H$27:$H$126,'Unit Summary - Rent Roll'!$E$27:$E$126,Overview!Q$22,'Unit Summary - Rent Roll'!$K$27:$K$126,Overview!$L28))</f>
        <v/>
      </c>
      <c r="R28" s="437">
        <f t="shared" si="0"/>
        <v>0</v>
      </c>
    </row>
    <row r="29" spans="2:18" x14ac:dyDescent="0.3">
      <c r="B29" s="501"/>
      <c r="C29" s="28"/>
      <c r="D29" s="29"/>
      <c r="F29" s="15" t="s">
        <v>48</v>
      </c>
      <c r="H29" s="269">
        <f>IF($D$17="Standard Workforce Housing (SWHP)",SUM('Financials- SWHP'!P21:P23),SUM('Financials-FTHP &amp; GAHP'!M22:M24))</f>
        <v>0</v>
      </c>
      <c r="I29" s="269">
        <f t="shared" si="1"/>
        <v>0</v>
      </c>
      <c r="J29" s="309">
        <f t="shared" si="2"/>
        <v>0</v>
      </c>
      <c r="L29" s="436">
        <v>0.45</v>
      </c>
      <c r="M29" s="429" t="str">
        <f>IF(SUMIFS('Unit Summary - Rent Roll'!$H$27:$H$126,'Unit Summary - Rent Roll'!$E$27:$E$126,Overview!M$22,'Unit Summary - Rent Roll'!$K$27:$K$126,Overview!$L29)=0,"",SUMIFS('Unit Summary - Rent Roll'!$H$27:$H$126,'Unit Summary - Rent Roll'!$E$27:$E$126,Overview!M$22,'Unit Summary - Rent Roll'!$K$27:$K$126,Overview!$L29))</f>
        <v/>
      </c>
      <c r="N29" s="429" t="str">
        <f>IF(SUMIFS('Unit Summary - Rent Roll'!$H$27:$H$126,'Unit Summary - Rent Roll'!$E$27:$E$126,Overview!N$22,'Unit Summary - Rent Roll'!$K$27:$K$126,Overview!$L29)=0,"",SUMIFS('Unit Summary - Rent Roll'!$H$27:$H$126,'Unit Summary - Rent Roll'!$E$27:$E$126,Overview!N$22,'Unit Summary - Rent Roll'!$K$27:$K$126,Overview!$L29))</f>
        <v/>
      </c>
      <c r="O29" s="429" t="str">
        <f>IF(SUMIFS('Unit Summary - Rent Roll'!$H$27:$H$126,'Unit Summary - Rent Roll'!$E$27:$E$126,Overview!O$22,'Unit Summary - Rent Roll'!$K$27:$K$126,Overview!$L29)=0,"",SUMIFS('Unit Summary - Rent Roll'!$H$27:$H$126,'Unit Summary - Rent Roll'!$E$27:$E$126,Overview!O$22,'Unit Summary - Rent Roll'!$K$27:$K$126,Overview!$L29))</f>
        <v/>
      </c>
      <c r="P29" s="429" t="str">
        <f>IF(SUMIFS('Unit Summary - Rent Roll'!$H$27:$H$126,'Unit Summary - Rent Roll'!$E$27:$E$126,Overview!P$22,'Unit Summary - Rent Roll'!$K$27:$K$126,Overview!$L29)=0,"",SUMIFS('Unit Summary - Rent Roll'!$H$27:$H$126,'Unit Summary - Rent Roll'!$E$27:$E$126,Overview!P$22,'Unit Summary - Rent Roll'!$K$27:$K$126,Overview!$L29))</f>
        <v/>
      </c>
      <c r="Q29" s="439" t="str">
        <f>IF(SUMIFS('Unit Summary - Rent Roll'!$H$27:$H$126,'Unit Summary - Rent Roll'!$E$27:$E$126,Overview!Q$22,'Unit Summary - Rent Roll'!$K$27:$K$126,Overview!$L29)=0,"",SUMIFS('Unit Summary - Rent Roll'!$H$27:$H$126,'Unit Summary - Rent Roll'!$E$27:$E$126,Overview!Q$22,'Unit Summary - Rent Roll'!$K$27:$K$126,Overview!$L29))</f>
        <v/>
      </c>
      <c r="R29" s="437">
        <f t="shared" si="0"/>
        <v>0</v>
      </c>
    </row>
    <row r="30" spans="2:18" x14ac:dyDescent="0.3">
      <c r="B30" s="501" t="s">
        <v>49</v>
      </c>
      <c r="C30" s="28"/>
      <c r="D30" s="199">
        <v>0</v>
      </c>
      <c r="F30" s="15" t="s">
        <v>50</v>
      </c>
      <c r="H30" s="269">
        <f>IF($D$17="Standard Workforce Housing (SWHP)",SUM('Financials- SWHP'!P29,'Financials- SWHP'!P32:P33),SUM('Financials-FTHP &amp; GAHP'!M30,'Financials-FTHP &amp; GAHP'!M33:M34))</f>
        <v>0</v>
      </c>
      <c r="I30" s="269">
        <f t="shared" si="1"/>
        <v>0</v>
      </c>
      <c r="J30" s="309">
        <f t="shared" si="2"/>
        <v>0</v>
      </c>
      <c r="L30" s="436">
        <v>0.5</v>
      </c>
      <c r="M30" s="429" t="str">
        <f>IF(SUMIFS('Unit Summary - Rent Roll'!$H$27:$H$126,'Unit Summary - Rent Roll'!$E$27:$E$126,Overview!M$22,'Unit Summary - Rent Roll'!$K$27:$K$126,Overview!$L30)=0,"",SUMIFS('Unit Summary - Rent Roll'!$H$27:$H$126,'Unit Summary - Rent Roll'!$E$27:$E$126,Overview!M$22,'Unit Summary - Rent Roll'!$K$27:$K$126,Overview!$L30))</f>
        <v/>
      </c>
      <c r="N30" s="429" t="str">
        <f>IF(SUMIFS('Unit Summary - Rent Roll'!$H$27:$H$126,'Unit Summary - Rent Roll'!$E$27:$E$126,Overview!N$22,'Unit Summary - Rent Roll'!$K$27:$K$126,Overview!$L30)=0,"",SUMIFS('Unit Summary - Rent Roll'!$H$27:$H$126,'Unit Summary - Rent Roll'!$E$27:$E$126,Overview!N$22,'Unit Summary - Rent Roll'!$K$27:$K$126,Overview!$L30))</f>
        <v/>
      </c>
      <c r="O30" s="429" t="str">
        <f>IF(SUMIFS('Unit Summary - Rent Roll'!$H$27:$H$126,'Unit Summary - Rent Roll'!$E$27:$E$126,Overview!O$22,'Unit Summary - Rent Roll'!$K$27:$K$126,Overview!$L30)=0,"",SUMIFS('Unit Summary - Rent Roll'!$H$27:$H$126,'Unit Summary - Rent Roll'!$E$27:$E$126,Overview!O$22,'Unit Summary - Rent Roll'!$K$27:$K$126,Overview!$L30))</f>
        <v/>
      </c>
      <c r="P30" s="429" t="str">
        <f>IF(SUMIFS('Unit Summary - Rent Roll'!$H$27:$H$126,'Unit Summary - Rent Roll'!$E$27:$E$126,Overview!P$22,'Unit Summary - Rent Roll'!$K$27:$K$126,Overview!$L30)=0,"",SUMIFS('Unit Summary - Rent Roll'!$H$27:$H$126,'Unit Summary - Rent Roll'!$E$27:$E$126,Overview!P$22,'Unit Summary - Rent Roll'!$K$27:$K$126,Overview!$L30))</f>
        <v/>
      </c>
      <c r="Q30" s="439" t="str">
        <f>IF(SUMIFS('Unit Summary - Rent Roll'!$H$27:$H$126,'Unit Summary - Rent Roll'!$E$27:$E$126,Overview!Q$22,'Unit Summary - Rent Roll'!$K$27:$K$126,Overview!$L30)=0,"",SUMIFS('Unit Summary - Rent Roll'!$H$27:$H$126,'Unit Summary - Rent Roll'!$E$27:$E$126,Overview!Q$22,'Unit Summary - Rent Roll'!$K$27:$K$126,Overview!$L30))</f>
        <v/>
      </c>
      <c r="R30" s="437">
        <f t="shared" si="0"/>
        <v>0</v>
      </c>
    </row>
    <row r="31" spans="2:18" x14ac:dyDescent="0.3">
      <c r="B31" s="501" t="s">
        <v>51</v>
      </c>
      <c r="C31" s="28"/>
      <c r="D31" s="91">
        <f>'Unit Summary - Rent Roll'!H127</f>
        <v>0</v>
      </c>
      <c r="F31" s="15" t="s">
        <v>52</v>
      </c>
      <c r="H31" s="269">
        <f>IF($D$17="Standard Workforce Housing (SWHP)",'Financials- SWHP'!P31,'Financials-FTHP &amp; GAHP'!M32)</f>
        <v>0</v>
      </c>
      <c r="I31" s="269">
        <f t="shared" si="1"/>
        <v>0</v>
      </c>
      <c r="J31" s="309">
        <f t="shared" si="2"/>
        <v>0</v>
      </c>
      <c r="L31" s="436">
        <v>0.55000000000000004</v>
      </c>
      <c r="M31" s="429" t="str">
        <f>IF(SUMIFS('Unit Summary - Rent Roll'!$H$27:$H$126,'Unit Summary - Rent Roll'!$E$27:$E$126,Overview!M$22,'Unit Summary - Rent Roll'!$K$27:$K$126,Overview!$L31)=0,"",SUMIFS('Unit Summary - Rent Roll'!$H$27:$H$126,'Unit Summary - Rent Roll'!$E$27:$E$126,Overview!M$22,'Unit Summary - Rent Roll'!$K$27:$K$126,Overview!$L31))</f>
        <v/>
      </c>
      <c r="N31" s="429" t="str">
        <f>IF(SUMIFS('Unit Summary - Rent Roll'!$H$27:$H$126,'Unit Summary - Rent Roll'!$E$27:$E$126,Overview!N$22,'Unit Summary - Rent Roll'!$K$27:$K$126,Overview!$L31)=0,"",SUMIFS('Unit Summary - Rent Roll'!$H$27:$H$126,'Unit Summary - Rent Roll'!$E$27:$E$126,Overview!N$22,'Unit Summary - Rent Roll'!$K$27:$K$126,Overview!$L31))</f>
        <v/>
      </c>
      <c r="O31" s="429" t="str">
        <f>IF(SUMIFS('Unit Summary - Rent Roll'!$H$27:$H$126,'Unit Summary - Rent Roll'!$E$27:$E$126,Overview!O$22,'Unit Summary - Rent Roll'!$K$27:$K$126,Overview!$L31)=0,"",SUMIFS('Unit Summary - Rent Roll'!$H$27:$H$126,'Unit Summary - Rent Roll'!$E$27:$E$126,Overview!O$22,'Unit Summary - Rent Roll'!$K$27:$K$126,Overview!$L31))</f>
        <v/>
      </c>
      <c r="P31" s="429" t="str">
        <f>IF(SUMIFS('Unit Summary - Rent Roll'!$H$27:$H$126,'Unit Summary - Rent Roll'!$E$27:$E$126,Overview!P$22,'Unit Summary - Rent Roll'!$K$27:$K$126,Overview!$L31)=0,"",SUMIFS('Unit Summary - Rent Roll'!$H$27:$H$126,'Unit Summary - Rent Roll'!$E$27:$E$126,Overview!P$22,'Unit Summary - Rent Roll'!$K$27:$K$126,Overview!$L31))</f>
        <v/>
      </c>
      <c r="Q31" s="439" t="str">
        <f>IF(SUMIFS('Unit Summary - Rent Roll'!$H$27:$H$126,'Unit Summary - Rent Roll'!$E$27:$E$126,Overview!Q$22,'Unit Summary - Rent Roll'!$K$27:$K$126,Overview!$L31)=0,"",SUMIFS('Unit Summary - Rent Roll'!$H$27:$H$126,'Unit Summary - Rent Roll'!$E$27:$E$126,Overview!Q$22,'Unit Summary - Rent Roll'!$K$27:$K$126,Overview!$L31))</f>
        <v/>
      </c>
      <c r="R31" s="437">
        <f t="shared" si="0"/>
        <v>0</v>
      </c>
    </row>
    <row r="32" spans="2:18" x14ac:dyDescent="0.3">
      <c r="B32" s="36" t="s">
        <v>53</v>
      </c>
      <c r="C32" s="28"/>
      <c r="D32" s="91">
        <f ca="1">SUMIFS(OFFSET('Unit Summary - Rent Roll'!$H$26,1,0):OFFSET('Unit Summary - Rent Roll'!$H$127,-1,0),OFFSET('Unit Summary - Rent Roll'!$K$26,1,0):OFFSET('Unit Summary - Rent Roll'!$K$127,-1,0),"None - Market")</f>
        <v>0</v>
      </c>
      <c r="F32" s="175" t="s">
        <v>54</v>
      </c>
      <c r="G32" s="176"/>
      <c r="H32" s="270">
        <f>SUM(H24:H31)</f>
        <v>0</v>
      </c>
      <c r="I32" s="270">
        <f t="shared" si="1"/>
        <v>0</v>
      </c>
      <c r="J32" s="310">
        <f t="shared" si="2"/>
        <v>0</v>
      </c>
      <c r="L32" s="436">
        <v>0.6</v>
      </c>
      <c r="M32" s="429" t="str">
        <f>IF(SUMIFS('Unit Summary - Rent Roll'!$H$27:$H$126,'Unit Summary - Rent Roll'!$E$27:$E$126,Overview!M$22,'Unit Summary - Rent Roll'!$K$27:$K$126,Overview!$L32)=0,"",SUMIFS('Unit Summary - Rent Roll'!$H$27:$H$126,'Unit Summary - Rent Roll'!$E$27:$E$126,Overview!M$22,'Unit Summary - Rent Roll'!$K$27:$K$126,Overview!$L32))</f>
        <v/>
      </c>
      <c r="N32" s="429" t="str">
        <f>IF(SUMIFS('Unit Summary - Rent Roll'!$H$27:$H$126,'Unit Summary - Rent Roll'!$E$27:$E$126,Overview!N$22,'Unit Summary - Rent Roll'!$K$27:$K$126,Overview!$L32)=0,"",SUMIFS('Unit Summary - Rent Roll'!$H$27:$H$126,'Unit Summary - Rent Roll'!$E$27:$E$126,Overview!N$22,'Unit Summary - Rent Roll'!$K$27:$K$126,Overview!$L32))</f>
        <v/>
      </c>
      <c r="O32" s="429" t="str">
        <f>IF(SUMIFS('Unit Summary - Rent Roll'!$H$27:$H$126,'Unit Summary - Rent Roll'!$E$27:$E$126,Overview!O$22,'Unit Summary - Rent Roll'!$K$27:$K$126,Overview!$L32)=0,"",SUMIFS('Unit Summary - Rent Roll'!$H$27:$H$126,'Unit Summary - Rent Roll'!$E$27:$E$126,Overview!O$22,'Unit Summary - Rent Roll'!$K$27:$K$126,Overview!$L32))</f>
        <v/>
      </c>
      <c r="P32" s="429" t="str">
        <f>IF(SUMIFS('Unit Summary - Rent Roll'!$H$27:$H$126,'Unit Summary - Rent Roll'!$E$27:$E$126,Overview!P$22,'Unit Summary - Rent Roll'!$K$27:$K$126,Overview!$L32)=0,"",SUMIFS('Unit Summary - Rent Roll'!$H$27:$H$126,'Unit Summary - Rent Roll'!$E$27:$E$126,Overview!P$22,'Unit Summary - Rent Roll'!$K$27:$K$126,Overview!$L32))</f>
        <v/>
      </c>
      <c r="Q32" s="439" t="str">
        <f>IF(SUMIFS('Unit Summary - Rent Roll'!$H$27:$H$126,'Unit Summary - Rent Roll'!$E$27:$E$126,Overview!Q$22,'Unit Summary - Rent Roll'!$K$27:$K$126,Overview!$L32)=0,"",SUMIFS('Unit Summary - Rent Roll'!$H$27:$H$126,'Unit Summary - Rent Roll'!$E$27:$E$126,Overview!Q$22,'Unit Summary - Rent Roll'!$K$27:$K$126,Overview!$L32))</f>
        <v/>
      </c>
      <c r="R32" s="437">
        <f t="shared" si="0"/>
        <v>0</v>
      </c>
    </row>
    <row r="33" spans="2:27" x14ac:dyDescent="0.3">
      <c r="B33" s="36" t="s">
        <v>55</v>
      </c>
      <c r="C33" s="28"/>
      <c r="D33" s="91">
        <f ca="1">SUMIFS(OFFSET('Unit Summary - Rent Roll'!$H$26,1,0):OFFSET('Unit Summary - Rent Roll'!$H$127,-1,0),OFFSET('Unit Summary - Rent Roll'!$K$26,1,0):OFFSET('Unit Summary - Rent Roll'!$K$127,-1,0),"&gt;0")</f>
        <v>0</v>
      </c>
      <c r="F33" s="258"/>
      <c r="H33" s="259" t="b">
        <f>IF(H32=H48,TRUE,FALSE)</f>
        <v>1</v>
      </c>
      <c r="I33" s="259"/>
      <c r="J33" s="16"/>
      <c r="L33" s="436">
        <v>0.65</v>
      </c>
      <c r="M33" s="429" t="str">
        <f>IF(SUMIFS('Unit Summary - Rent Roll'!$H$27:$H$126,'Unit Summary - Rent Roll'!$E$27:$E$126,Overview!M$22,'Unit Summary - Rent Roll'!$K$27:$K$126,Overview!$L33)=0,"",SUMIFS('Unit Summary - Rent Roll'!$H$27:$H$126,'Unit Summary - Rent Roll'!$E$27:$E$126,Overview!M$22,'Unit Summary - Rent Roll'!$K$27:$K$126,Overview!$L33))</f>
        <v/>
      </c>
      <c r="N33" s="429" t="str">
        <f>IF(SUMIFS('Unit Summary - Rent Roll'!$H$27:$H$126,'Unit Summary - Rent Roll'!$E$27:$E$126,Overview!N$22,'Unit Summary - Rent Roll'!$K$27:$K$126,Overview!$L33)=0,"",SUMIFS('Unit Summary - Rent Roll'!$H$27:$H$126,'Unit Summary - Rent Roll'!$E$27:$E$126,Overview!N$22,'Unit Summary - Rent Roll'!$K$27:$K$126,Overview!$L33))</f>
        <v/>
      </c>
      <c r="O33" s="429" t="str">
        <f>IF(SUMIFS('Unit Summary - Rent Roll'!$H$27:$H$126,'Unit Summary - Rent Roll'!$E$27:$E$126,Overview!O$22,'Unit Summary - Rent Roll'!$K$27:$K$126,Overview!$L33)=0,"",SUMIFS('Unit Summary - Rent Roll'!$H$27:$H$126,'Unit Summary - Rent Roll'!$E$27:$E$126,Overview!O$22,'Unit Summary - Rent Roll'!$K$27:$K$126,Overview!$L33))</f>
        <v/>
      </c>
      <c r="P33" s="429" t="str">
        <f>IF(SUMIFS('Unit Summary - Rent Roll'!$H$27:$H$126,'Unit Summary - Rent Roll'!$E$27:$E$126,Overview!P$22,'Unit Summary - Rent Roll'!$K$27:$K$126,Overview!$L33)=0,"",SUMIFS('Unit Summary - Rent Roll'!$H$27:$H$126,'Unit Summary - Rent Roll'!$E$27:$E$126,Overview!P$22,'Unit Summary - Rent Roll'!$K$27:$K$126,Overview!$L33))</f>
        <v/>
      </c>
      <c r="Q33" s="439" t="str">
        <f>IF(SUMIFS('Unit Summary - Rent Roll'!$H$27:$H$126,'Unit Summary - Rent Roll'!$E$27:$E$126,Overview!Q$22,'Unit Summary - Rent Roll'!$K$27:$K$126,Overview!$L33)=0,"",SUMIFS('Unit Summary - Rent Roll'!$H$27:$H$126,'Unit Summary - Rent Roll'!$E$27:$E$126,Overview!Q$22,'Unit Summary - Rent Roll'!$K$27:$K$126,Overview!$L33))</f>
        <v/>
      </c>
      <c r="R33" s="437">
        <f t="shared" si="0"/>
        <v>0</v>
      </c>
    </row>
    <row r="34" spans="2:27" x14ac:dyDescent="0.3">
      <c r="B34" s="36" t="s">
        <v>56</v>
      </c>
      <c r="C34" s="28"/>
      <c r="D34" s="91">
        <f ca="1">SUMIFS(OFFSET('Unit Summary - Rent Roll'!$H$26,1,0):OFFSET('Unit Summary - Rent Roll'!$H$127,-1,0),OFFSET('Unit Summary - Rent Roll'!$K$26,1,0):OFFSET('Unit Summary - Rent Roll'!$K$127,-1,0),"PSH")</f>
        <v>0</v>
      </c>
      <c r="F34" s="265" t="s">
        <v>57</v>
      </c>
      <c r="G34" s="266"/>
      <c r="H34" s="267"/>
      <c r="I34" s="267"/>
      <c r="J34" s="268"/>
      <c r="L34" s="436">
        <v>0.7</v>
      </c>
      <c r="M34" s="429" t="str">
        <f>IF(SUMIFS('Unit Summary - Rent Roll'!$H$27:$H$126,'Unit Summary - Rent Roll'!$E$27:$E$126,Overview!M$22,'Unit Summary - Rent Roll'!$K$27:$K$126,Overview!$L34)=0,"",SUMIFS('Unit Summary - Rent Roll'!$H$27:$H$126,'Unit Summary - Rent Roll'!$E$27:$E$126,Overview!M$22,'Unit Summary - Rent Roll'!$K$27:$K$126,Overview!$L34))</f>
        <v/>
      </c>
      <c r="N34" s="429" t="str">
        <f>IF(SUMIFS('Unit Summary - Rent Roll'!$H$27:$H$126,'Unit Summary - Rent Roll'!$E$27:$E$126,Overview!N$22,'Unit Summary - Rent Roll'!$K$27:$K$126,Overview!$L34)=0,"",SUMIFS('Unit Summary - Rent Roll'!$H$27:$H$126,'Unit Summary - Rent Roll'!$E$27:$E$126,Overview!N$22,'Unit Summary - Rent Roll'!$K$27:$K$126,Overview!$L34))</f>
        <v/>
      </c>
      <c r="O34" s="429" t="str">
        <f>IF(SUMIFS('Unit Summary - Rent Roll'!$H$27:$H$126,'Unit Summary - Rent Roll'!$E$27:$E$126,Overview!O$22,'Unit Summary - Rent Roll'!$K$27:$K$126,Overview!$L34)=0,"",SUMIFS('Unit Summary - Rent Roll'!$H$27:$H$126,'Unit Summary - Rent Roll'!$E$27:$E$126,Overview!O$22,'Unit Summary - Rent Roll'!$K$27:$K$126,Overview!$L34))</f>
        <v/>
      </c>
      <c r="P34" s="429" t="str">
        <f>IF(SUMIFS('Unit Summary - Rent Roll'!$H$27:$H$126,'Unit Summary - Rent Roll'!$E$27:$E$126,Overview!P$22,'Unit Summary - Rent Roll'!$K$27:$K$126,Overview!$L34)=0,"",SUMIFS('Unit Summary - Rent Roll'!$H$27:$H$126,'Unit Summary - Rent Roll'!$E$27:$E$126,Overview!P$22,'Unit Summary - Rent Roll'!$K$27:$K$126,Overview!$L34))</f>
        <v/>
      </c>
      <c r="Q34" s="439" t="str">
        <f>IF(SUMIFS('Unit Summary - Rent Roll'!$H$27:$H$126,'Unit Summary - Rent Roll'!$E$27:$E$126,Overview!Q$22,'Unit Summary - Rent Roll'!$K$27:$K$126,Overview!$L34)=0,"",SUMIFS('Unit Summary - Rent Roll'!$H$27:$H$126,'Unit Summary - Rent Roll'!$E$27:$E$126,Overview!Q$22,'Unit Summary - Rent Roll'!$K$27:$K$126,Overview!$L34))</f>
        <v/>
      </c>
      <c r="R34" s="437">
        <f t="shared" si="0"/>
        <v>0</v>
      </c>
    </row>
    <row r="35" spans="2:27" x14ac:dyDescent="0.3">
      <c r="B35" s="501" t="s">
        <v>58</v>
      </c>
      <c r="C35" s="28"/>
      <c r="D35" s="199">
        <v>0</v>
      </c>
      <c r="F35" s="15" t="s">
        <v>40</v>
      </c>
      <c r="H35" s="269">
        <f>IF($D$17="Standard Workforce Housing (SWHP)",'Financials- SWHP'!P48,'Financials-FTHP &amp; GAHP'!M49)</f>
        <v>0</v>
      </c>
      <c r="I35" s="269">
        <f>IFERROR(H35/$D$31,0)</f>
        <v>0</v>
      </c>
      <c r="J35" s="309">
        <f>IFERROR(H35/$H$42,0)</f>
        <v>0</v>
      </c>
      <c r="L35" s="436">
        <v>0.75</v>
      </c>
      <c r="M35" s="429" t="str">
        <f>IF(SUMIFS('Unit Summary - Rent Roll'!$H$27:$H$126,'Unit Summary - Rent Roll'!$E$27:$E$126,Overview!M$22,'Unit Summary - Rent Roll'!$K$27:$K$126,Overview!$L35)=0,"",SUMIFS('Unit Summary - Rent Roll'!$H$27:$H$126,'Unit Summary - Rent Roll'!$E$27:$E$126,Overview!M$22,'Unit Summary - Rent Roll'!$K$27:$K$126,Overview!$L35))</f>
        <v/>
      </c>
      <c r="N35" s="429" t="str">
        <f>IF(SUMIFS('Unit Summary - Rent Roll'!$H$27:$H$126,'Unit Summary - Rent Roll'!$E$27:$E$126,Overview!N$22,'Unit Summary - Rent Roll'!$K$27:$K$126,Overview!$L35)=0,"",SUMIFS('Unit Summary - Rent Roll'!$H$27:$H$126,'Unit Summary - Rent Roll'!$E$27:$E$126,Overview!N$22,'Unit Summary - Rent Roll'!$K$27:$K$126,Overview!$L35))</f>
        <v/>
      </c>
      <c r="O35" s="429" t="str">
        <f>IF(SUMIFS('Unit Summary - Rent Roll'!$H$27:$H$126,'Unit Summary - Rent Roll'!$E$27:$E$126,Overview!O$22,'Unit Summary - Rent Roll'!$K$27:$K$126,Overview!$L35)=0,"",SUMIFS('Unit Summary - Rent Roll'!$H$27:$H$126,'Unit Summary - Rent Roll'!$E$27:$E$126,Overview!O$22,'Unit Summary - Rent Roll'!$K$27:$K$126,Overview!$L35))</f>
        <v/>
      </c>
      <c r="P35" s="429" t="str">
        <f>IF(SUMIFS('Unit Summary - Rent Roll'!$H$27:$H$126,'Unit Summary - Rent Roll'!$E$27:$E$126,Overview!P$22,'Unit Summary - Rent Roll'!$K$27:$K$126,Overview!$L35)=0,"",SUMIFS('Unit Summary - Rent Roll'!$H$27:$H$126,'Unit Summary - Rent Roll'!$E$27:$E$126,Overview!P$22,'Unit Summary - Rent Roll'!$K$27:$K$126,Overview!$L35))</f>
        <v/>
      </c>
      <c r="Q35" s="439" t="str">
        <f>IF(SUMIFS('Unit Summary - Rent Roll'!$H$27:$H$126,'Unit Summary - Rent Roll'!$E$27:$E$126,Overview!Q$22,'Unit Summary - Rent Roll'!$K$27:$K$126,Overview!$L35)=0,"",SUMIFS('Unit Summary - Rent Roll'!$H$27:$H$126,'Unit Summary - Rent Roll'!$E$27:$E$126,Overview!Q$22,'Unit Summary - Rent Roll'!$K$27:$K$126,Overview!$L35))</f>
        <v/>
      </c>
      <c r="R35" s="437">
        <f>SUM(M35:Q35)</f>
        <v>0</v>
      </c>
    </row>
    <row r="36" spans="2:27" x14ac:dyDescent="0.3">
      <c r="B36" s="501" t="s">
        <v>59</v>
      </c>
      <c r="C36" s="28"/>
      <c r="D36" s="91">
        <f>'Unit Summary - Rent Roll'!$I$127</f>
        <v>0</v>
      </c>
      <c r="F36" s="15" t="s">
        <v>41</v>
      </c>
      <c r="H36" s="269">
        <f>IF($D$17="Standard Workforce Housing (SWHP)",SUM('Financials- SWHP'!P44:P45),SUM('Financials-FTHP &amp; GAHP'!M45:M46))</f>
        <v>0</v>
      </c>
      <c r="I36" s="269">
        <f t="shared" ref="I36:I42" si="3">IFERROR(H36/$D$31,0)</f>
        <v>0</v>
      </c>
      <c r="J36" s="309">
        <f t="shared" ref="J36:J42" si="4">IFERROR(H36/$H$42,0)</f>
        <v>0</v>
      </c>
      <c r="L36" s="436">
        <v>0.8</v>
      </c>
      <c r="M36" s="429" t="str">
        <f>IF(SUMIFS('Unit Summary - Rent Roll'!$H$27:$H$126,'Unit Summary - Rent Roll'!$E$27:$E$126,Overview!M$22,'Unit Summary - Rent Roll'!$K$27:$K$126,Overview!$L36)=0,"",SUMIFS('Unit Summary - Rent Roll'!$H$27:$H$126,'Unit Summary - Rent Roll'!$E$27:$E$126,Overview!M$22,'Unit Summary - Rent Roll'!$K$27:$K$126,Overview!$L36))</f>
        <v/>
      </c>
      <c r="N36" s="429" t="str">
        <f>IF(SUMIFS('Unit Summary - Rent Roll'!$H$27:$H$126,'Unit Summary - Rent Roll'!$E$27:$E$126,Overview!N$22,'Unit Summary - Rent Roll'!$K$27:$K$126,Overview!$L36)=0,"",SUMIFS('Unit Summary - Rent Roll'!$H$27:$H$126,'Unit Summary - Rent Roll'!$E$27:$E$126,Overview!N$22,'Unit Summary - Rent Roll'!$K$27:$K$126,Overview!$L36))</f>
        <v/>
      </c>
      <c r="O36" s="429" t="str">
        <f>IF(SUMIFS('Unit Summary - Rent Roll'!$H$27:$H$126,'Unit Summary - Rent Roll'!$E$27:$E$126,Overview!O$22,'Unit Summary - Rent Roll'!$K$27:$K$126,Overview!$L36)=0,"",SUMIFS('Unit Summary - Rent Roll'!$H$27:$H$126,'Unit Summary - Rent Roll'!$E$27:$E$126,Overview!O$22,'Unit Summary - Rent Roll'!$K$27:$K$126,Overview!$L36))</f>
        <v/>
      </c>
      <c r="P36" s="429" t="str">
        <f>IF(SUMIFS('Unit Summary - Rent Roll'!$H$27:$H$126,'Unit Summary - Rent Roll'!$E$27:$E$126,Overview!P$22,'Unit Summary - Rent Roll'!$K$27:$K$126,Overview!$L36)=0,"",SUMIFS('Unit Summary - Rent Roll'!$H$27:$H$126,'Unit Summary - Rent Roll'!$E$27:$E$126,Overview!P$22,'Unit Summary - Rent Roll'!$K$27:$K$126,Overview!$L36))</f>
        <v/>
      </c>
      <c r="Q36" s="426" t="str">
        <f>IF(SUMIFS('Unit Summary - Rent Roll'!$H$27:$H$126,'Unit Summary - Rent Roll'!$E$27:$E$126,Overview!Q$22,'Unit Summary - Rent Roll'!$K$27:$K$126,Overview!$L36)=0,"",SUMIFS('Unit Summary - Rent Roll'!$H$27:$H$126,'Unit Summary - Rent Roll'!$E$27:$E$126,Overview!Q$22,'Unit Summary - Rent Roll'!$K$27:$K$126,Overview!$L36))</f>
        <v/>
      </c>
      <c r="R36" s="437">
        <f t="shared" ref="R36:R44" si="5">SUM(M36:Q36)</f>
        <v>0</v>
      </c>
    </row>
    <row r="37" spans="2:27" x14ac:dyDescent="0.3">
      <c r="B37" s="36" t="s">
        <v>60</v>
      </c>
      <c r="C37" s="28"/>
      <c r="D37" s="91">
        <f ca="1">SUMIFS(OFFSET('Unit Summary - Rent Roll'!$I$26,1,0):OFFSET('Unit Summary - Rent Roll'!$I$127,-1,0),OFFSET('Unit Summary - Rent Roll'!$K$26,1,0):OFFSET('Unit Summary - Rent Roll'!$K$127,-1,0),"None - Market")</f>
        <v>0</v>
      </c>
      <c r="F37" s="15" t="s">
        <v>61</v>
      </c>
      <c r="H37" s="269">
        <f>IF($D$17="Standard Workforce Housing (SWHP)",SUM('Financials- SWHP'!P37:P40),SUM('Financials-FTHP &amp; GAHP'!M38:M41))</f>
        <v>0</v>
      </c>
      <c r="I37" s="269">
        <f t="shared" si="3"/>
        <v>0</v>
      </c>
      <c r="J37" s="309">
        <f t="shared" si="4"/>
        <v>0</v>
      </c>
      <c r="L37" s="436">
        <v>0.85</v>
      </c>
      <c r="M37" s="429" t="str">
        <f>IF(SUMIFS('Unit Summary - Rent Roll'!$H$27:$H$126,'Unit Summary - Rent Roll'!$E$27:$E$126,Overview!M$22,'Unit Summary - Rent Roll'!$K$27:$K$126,Overview!$L37)=0,"",SUMIFS('Unit Summary - Rent Roll'!$H$27:$H$126,'Unit Summary - Rent Roll'!$E$27:$E$126,Overview!M$22,'Unit Summary - Rent Roll'!$K$27:$K$126,Overview!$L37))</f>
        <v/>
      </c>
      <c r="N37" s="429" t="str">
        <f>IF(SUMIFS('Unit Summary - Rent Roll'!$H$27:$H$126,'Unit Summary - Rent Roll'!$E$27:$E$126,Overview!N$22,'Unit Summary - Rent Roll'!$K$27:$K$126,Overview!$L37)=0,"",SUMIFS('Unit Summary - Rent Roll'!$H$27:$H$126,'Unit Summary - Rent Roll'!$E$27:$E$126,Overview!N$22,'Unit Summary - Rent Roll'!$K$27:$K$126,Overview!$L37))</f>
        <v/>
      </c>
      <c r="O37" s="429" t="str">
        <f>IF(SUMIFS('Unit Summary - Rent Roll'!$H$27:$H$126,'Unit Summary - Rent Roll'!$E$27:$E$126,Overview!O$22,'Unit Summary - Rent Roll'!$K$27:$K$126,Overview!$L37)=0,"",SUMIFS('Unit Summary - Rent Roll'!$H$27:$H$126,'Unit Summary - Rent Roll'!$E$27:$E$126,Overview!O$22,'Unit Summary - Rent Roll'!$K$27:$K$126,Overview!$L37))</f>
        <v/>
      </c>
      <c r="P37" s="429" t="str">
        <f>IF(SUMIFS('Unit Summary - Rent Roll'!$H$27:$H$126,'Unit Summary - Rent Roll'!$E$27:$E$126,Overview!P$22,'Unit Summary - Rent Roll'!$K$27:$K$126,Overview!$L37)=0,"",SUMIFS('Unit Summary - Rent Roll'!$H$27:$H$126,'Unit Summary - Rent Roll'!$E$27:$E$126,Overview!P$22,'Unit Summary - Rent Roll'!$K$27:$K$126,Overview!$L37))</f>
        <v/>
      </c>
      <c r="Q37" s="426" t="str">
        <f>IF(SUMIFS('Unit Summary - Rent Roll'!$H$27:$H$126,'Unit Summary - Rent Roll'!$E$27:$E$126,Overview!Q$22,'Unit Summary - Rent Roll'!$K$27:$K$126,Overview!$L37)=0,"",SUMIFS('Unit Summary - Rent Roll'!$H$27:$H$126,'Unit Summary - Rent Roll'!$E$27:$E$126,Overview!Q$22,'Unit Summary - Rent Roll'!$K$27:$K$126,Overview!$L37))</f>
        <v/>
      </c>
      <c r="R37" s="437">
        <f t="shared" si="5"/>
        <v>0</v>
      </c>
    </row>
    <row r="38" spans="2:27" x14ac:dyDescent="0.3">
      <c r="B38" s="36" t="s">
        <v>62</v>
      </c>
      <c r="C38" s="28"/>
      <c r="D38" s="91">
        <f ca="1">SUMIFS(OFFSET('Unit Summary - Rent Roll'!$I$26,1,0):OFFSET('Unit Summary - Rent Roll'!$I$127,-1,0),OFFSET('Unit Summary - Rent Roll'!$K$26,1,0):OFFSET('Unit Summary - Rent Roll'!$K$127,-1,0),"&gt;0")</f>
        <v>0</v>
      </c>
      <c r="F38" s="15" t="s">
        <v>47</v>
      </c>
      <c r="H38" s="269">
        <f>IF($D$17="Standard Workforce Housing (SWHP)",'Financials- SWHP'!P46,'Financials-FTHP &amp; GAHP'!M47)</f>
        <v>0</v>
      </c>
      <c r="I38" s="269">
        <f t="shared" si="3"/>
        <v>0</v>
      </c>
      <c r="J38" s="309">
        <f t="shared" si="4"/>
        <v>0</v>
      </c>
      <c r="L38" s="436">
        <v>0.9</v>
      </c>
      <c r="M38" s="429" t="str">
        <f>IF(SUMIFS('Unit Summary - Rent Roll'!$H$27:$H$126,'Unit Summary - Rent Roll'!$E$27:$E$126,Overview!M$22,'Unit Summary - Rent Roll'!$K$27:$K$126,Overview!$L38)=0,"",SUMIFS('Unit Summary - Rent Roll'!$H$27:$H$126,'Unit Summary - Rent Roll'!$E$27:$E$126,Overview!M$22,'Unit Summary - Rent Roll'!$K$27:$K$126,Overview!$L38))</f>
        <v/>
      </c>
      <c r="N38" s="429" t="str">
        <f>IF(SUMIFS('Unit Summary - Rent Roll'!$H$27:$H$126,'Unit Summary - Rent Roll'!$E$27:$E$126,Overview!N$22,'Unit Summary - Rent Roll'!$K$27:$K$126,Overview!$L38)=0,"",SUMIFS('Unit Summary - Rent Roll'!$H$27:$H$126,'Unit Summary - Rent Roll'!$E$27:$E$126,Overview!N$22,'Unit Summary - Rent Roll'!$K$27:$K$126,Overview!$L38))</f>
        <v/>
      </c>
      <c r="O38" s="429" t="str">
        <f>IF(SUMIFS('Unit Summary - Rent Roll'!$H$27:$H$126,'Unit Summary - Rent Roll'!$E$27:$E$126,Overview!O$22,'Unit Summary - Rent Roll'!$K$27:$K$126,Overview!$L38)=0,"",SUMIFS('Unit Summary - Rent Roll'!$H$27:$H$126,'Unit Summary - Rent Roll'!$E$27:$E$126,Overview!O$22,'Unit Summary - Rent Roll'!$K$27:$K$126,Overview!$L38))</f>
        <v/>
      </c>
      <c r="P38" s="429" t="str">
        <f>IF(SUMIFS('Unit Summary - Rent Roll'!$H$27:$H$126,'Unit Summary - Rent Roll'!$E$27:$E$126,Overview!P$22,'Unit Summary - Rent Roll'!$K$27:$K$126,Overview!$L38)=0,"",SUMIFS('Unit Summary - Rent Roll'!$H$27:$H$126,'Unit Summary - Rent Roll'!$E$27:$E$126,Overview!P$22,'Unit Summary - Rent Roll'!$K$27:$K$126,Overview!$L38))</f>
        <v/>
      </c>
      <c r="Q38" s="426" t="str">
        <f>IF(SUMIFS('Unit Summary - Rent Roll'!$H$27:$H$126,'Unit Summary - Rent Roll'!$E$27:$E$126,Overview!Q$22,'Unit Summary - Rent Roll'!$K$27:$K$126,Overview!$L38)=0,"",SUMIFS('Unit Summary - Rent Roll'!$H$27:$H$126,'Unit Summary - Rent Roll'!$E$27:$E$126,Overview!Q$22,'Unit Summary - Rent Roll'!$K$27:$K$126,Overview!$L38))</f>
        <v/>
      </c>
      <c r="R38" s="437">
        <f t="shared" si="5"/>
        <v>0</v>
      </c>
    </row>
    <row r="39" spans="2:27" x14ac:dyDescent="0.3">
      <c r="B39" s="501" t="s">
        <v>63</v>
      </c>
      <c r="C39" s="28"/>
      <c r="D39" s="199"/>
      <c r="F39" s="15" t="s">
        <v>48</v>
      </c>
      <c r="H39" s="269">
        <f>IF($D$17="Standard Workforce Housing (SWHP)",SUM('Financials- SWHP'!P41:P43),SUM('Financials-FTHP &amp; GAHP'!M42:M44))</f>
        <v>0</v>
      </c>
      <c r="I39" s="269">
        <f t="shared" si="3"/>
        <v>0</v>
      </c>
      <c r="J39" s="309">
        <f t="shared" si="4"/>
        <v>0</v>
      </c>
      <c r="L39" s="436">
        <v>0.95</v>
      </c>
      <c r="M39" s="429" t="str">
        <f>IF(SUMIFS('Unit Summary - Rent Roll'!$H$27:$H$126,'Unit Summary - Rent Roll'!$E$27:$E$126,Overview!M$22,'Unit Summary - Rent Roll'!$K$27:$K$126,Overview!$L39)=0,"",SUMIFS('Unit Summary - Rent Roll'!$H$27:$H$126,'Unit Summary - Rent Roll'!$E$27:$E$126,Overview!M$22,'Unit Summary - Rent Roll'!$K$27:$K$126,Overview!$L39))</f>
        <v/>
      </c>
      <c r="N39" s="429" t="str">
        <f>IF(SUMIFS('Unit Summary - Rent Roll'!$H$27:$H$126,'Unit Summary - Rent Roll'!$E$27:$E$126,Overview!N$22,'Unit Summary - Rent Roll'!$K$27:$K$126,Overview!$L39)=0,"",SUMIFS('Unit Summary - Rent Roll'!$H$27:$H$126,'Unit Summary - Rent Roll'!$E$27:$E$126,Overview!N$22,'Unit Summary - Rent Roll'!$K$27:$K$126,Overview!$L39))</f>
        <v/>
      </c>
      <c r="O39" s="429" t="str">
        <f>IF(SUMIFS('Unit Summary - Rent Roll'!$H$27:$H$126,'Unit Summary - Rent Roll'!$E$27:$E$126,Overview!O$22,'Unit Summary - Rent Roll'!$K$27:$K$126,Overview!$L39)=0,"",SUMIFS('Unit Summary - Rent Roll'!$H$27:$H$126,'Unit Summary - Rent Roll'!$E$27:$E$126,Overview!O$22,'Unit Summary - Rent Roll'!$K$27:$K$126,Overview!$L39))</f>
        <v/>
      </c>
      <c r="P39" s="429" t="str">
        <f>IF(SUMIFS('Unit Summary - Rent Roll'!$H$27:$H$126,'Unit Summary - Rent Roll'!$E$27:$E$126,Overview!P$22,'Unit Summary - Rent Roll'!$K$27:$K$126,Overview!$L39)=0,"",SUMIFS('Unit Summary - Rent Roll'!$H$27:$H$126,'Unit Summary - Rent Roll'!$E$27:$E$126,Overview!P$22,'Unit Summary - Rent Roll'!$K$27:$K$126,Overview!$L39))</f>
        <v/>
      </c>
      <c r="Q39" s="426" t="str">
        <f>IF(SUMIFS('Unit Summary - Rent Roll'!$H$27:$H$126,'Unit Summary - Rent Roll'!$E$27:$E$126,Overview!Q$22,'Unit Summary - Rent Roll'!$K$27:$K$126,Overview!$L39)=0,"",SUMIFS('Unit Summary - Rent Roll'!$H$27:$H$126,'Unit Summary - Rent Roll'!$E$27:$E$126,Overview!Q$22,'Unit Summary - Rent Roll'!$K$27:$K$126,Overview!$L39))</f>
        <v/>
      </c>
      <c r="R39" s="437">
        <f t="shared" si="5"/>
        <v>0</v>
      </c>
    </row>
    <row r="40" spans="2:27" x14ac:dyDescent="0.3">
      <c r="B40" s="501" t="s">
        <v>64</v>
      </c>
      <c r="C40" s="28"/>
      <c r="D40" s="91">
        <f>D30-D36-D39</f>
        <v>0</v>
      </c>
      <c r="F40" s="15" t="s">
        <v>50</v>
      </c>
      <c r="H40" s="269">
        <f>IF($D$17="Standard Workforce Housing (SWHP)",SUM('Financials- SWHP'!P47,'Financials- SWHP'!P50:P51),SUM('Financials-FTHP &amp; GAHP'!M48,'Financials-FTHP &amp; GAHP'!M51:M52))</f>
        <v>0</v>
      </c>
      <c r="I40" s="269">
        <f t="shared" si="3"/>
        <v>0</v>
      </c>
      <c r="J40" s="309">
        <f t="shared" si="4"/>
        <v>0</v>
      </c>
      <c r="L40" s="436">
        <v>1</v>
      </c>
      <c r="M40" s="429" t="str">
        <f>IF(SUMIFS('Unit Summary - Rent Roll'!$H$27:$H$126,'Unit Summary - Rent Roll'!$E$27:$E$126,Overview!M$22,'Unit Summary - Rent Roll'!$K$27:$K$126,Overview!$L40)=0,"",SUMIFS('Unit Summary - Rent Roll'!$H$27:$H$126,'Unit Summary - Rent Roll'!$E$27:$E$126,Overview!M$22,'Unit Summary - Rent Roll'!$K$27:$K$126,Overview!$L40))</f>
        <v/>
      </c>
      <c r="N40" s="429" t="str">
        <f>IF(SUMIFS('Unit Summary - Rent Roll'!$H$27:$H$126,'Unit Summary - Rent Roll'!$E$27:$E$126,Overview!N$22,'Unit Summary - Rent Roll'!$K$27:$K$126,Overview!$L40)=0,"",SUMIFS('Unit Summary - Rent Roll'!$H$27:$H$126,'Unit Summary - Rent Roll'!$E$27:$E$126,Overview!N$22,'Unit Summary - Rent Roll'!$K$27:$K$126,Overview!$L40))</f>
        <v/>
      </c>
      <c r="O40" s="429" t="str">
        <f>IF(SUMIFS('Unit Summary - Rent Roll'!$H$27:$H$126,'Unit Summary - Rent Roll'!$E$27:$E$126,Overview!O$22,'Unit Summary - Rent Roll'!$K$27:$K$126,Overview!$L40)=0,"",SUMIFS('Unit Summary - Rent Roll'!$H$27:$H$126,'Unit Summary - Rent Roll'!$E$27:$E$126,Overview!O$22,'Unit Summary - Rent Roll'!$K$27:$K$126,Overview!$L40))</f>
        <v/>
      </c>
      <c r="P40" s="429" t="str">
        <f>IF(SUMIFS('Unit Summary - Rent Roll'!$H$27:$H$126,'Unit Summary - Rent Roll'!$E$27:$E$126,Overview!P$22,'Unit Summary - Rent Roll'!$K$27:$K$126,Overview!$L40)=0,"",SUMIFS('Unit Summary - Rent Roll'!$H$27:$H$126,'Unit Summary - Rent Roll'!$E$27:$E$126,Overview!P$22,'Unit Summary - Rent Roll'!$K$27:$K$126,Overview!$L40))</f>
        <v/>
      </c>
      <c r="Q40" s="426" t="str">
        <f>IF(SUMIFS('Unit Summary - Rent Roll'!$H$27:$H$126,'Unit Summary - Rent Roll'!$E$27:$E$126,Overview!Q$22,'Unit Summary - Rent Roll'!$K$27:$K$126,Overview!$L40)=0,"",SUMIFS('Unit Summary - Rent Roll'!$H$27:$H$126,'Unit Summary - Rent Roll'!$E$27:$E$126,Overview!Q$22,'Unit Summary - Rent Roll'!$K$27:$K$126,Overview!$L40))</f>
        <v/>
      </c>
      <c r="R40" s="437">
        <f t="shared" si="5"/>
        <v>0</v>
      </c>
    </row>
    <row r="41" spans="2:27" x14ac:dyDescent="0.3">
      <c r="B41" s="501" t="s">
        <v>65</v>
      </c>
      <c r="C41" s="28"/>
      <c r="D41" s="92">
        <f>'Unit Summary - Rent Roll'!G128</f>
        <v>0</v>
      </c>
      <c r="F41" s="15" t="s">
        <v>52</v>
      </c>
      <c r="H41" s="269">
        <f>IF($D$17="Standard Workforce Housing (SWHP)",'Financials- SWHP'!P49,'Financials-FTHP &amp; GAHP'!M50)</f>
        <v>0</v>
      </c>
      <c r="I41" s="269">
        <f t="shared" si="3"/>
        <v>0</v>
      </c>
      <c r="J41" s="309">
        <f t="shared" si="4"/>
        <v>0</v>
      </c>
      <c r="L41" s="436">
        <v>1.05</v>
      </c>
      <c r="M41" s="429" t="str">
        <f>IF(SUMIFS('Unit Summary - Rent Roll'!$H$27:$H$126,'Unit Summary - Rent Roll'!$E$27:$E$126,Overview!M$22,'Unit Summary - Rent Roll'!$K$27:$K$126,Overview!$L41)=0,"",SUMIFS('Unit Summary - Rent Roll'!$H$27:$H$126,'Unit Summary - Rent Roll'!$E$27:$E$126,Overview!M$22,'Unit Summary - Rent Roll'!$K$27:$K$126,Overview!$L41))</f>
        <v/>
      </c>
      <c r="N41" s="429" t="str">
        <f>IF(SUMIFS('Unit Summary - Rent Roll'!$H$27:$H$126,'Unit Summary - Rent Roll'!$E$27:$E$126,Overview!N$22,'Unit Summary - Rent Roll'!$K$27:$K$126,Overview!$L41)=0,"",SUMIFS('Unit Summary - Rent Roll'!$H$27:$H$126,'Unit Summary - Rent Roll'!$E$27:$E$126,Overview!N$22,'Unit Summary - Rent Roll'!$K$27:$K$126,Overview!$L41))</f>
        <v/>
      </c>
      <c r="O41" s="429" t="str">
        <f>IF(SUMIFS('Unit Summary - Rent Roll'!$H$27:$H$126,'Unit Summary - Rent Roll'!$E$27:$E$126,Overview!O$22,'Unit Summary - Rent Roll'!$K$27:$K$126,Overview!$L41)=0,"",SUMIFS('Unit Summary - Rent Roll'!$H$27:$H$126,'Unit Summary - Rent Roll'!$E$27:$E$126,Overview!O$22,'Unit Summary - Rent Roll'!$K$27:$K$126,Overview!$L41))</f>
        <v/>
      </c>
      <c r="P41" s="429" t="str">
        <f>IF(SUMIFS('Unit Summary - Rent Roll'!$H$27:$H$126,'Unit Summary - Rent Roll'!$E$27:$E$126,Overview!P$22,'Unit Summary - Rent Roll'!$K$27:$K$126,Overview!$L41)=0,"",SUMIFS('Unit Summary - Rent Roll'!$H$27:$H$126,'Unit Summary - Rent Roll'!$E$27:$E$126,Overview!P$22,'Unit Summary - Rent Roll'!$K$27:$K$126,Overview!$L41))</f>
        <v/>
      </c>
      <c r="Q41" s="426" t="str">
        <f>IF(SUMIFS('Unit Summary - Rent Roll'!$H$27:$H$126,'Unit Summary - Rent Roll'!$E$27:$E$126,Overview!Q$22,'Unit Summary - Rent Roll'!$K$27:$K$126,Overview!$L41)=0,"",SUMIFS('Unit Summary - Rent Roll'!$H$27:$H$126,'Unit Summary - Rent Roll'!$E$27:$E$126,Overview!Q$22,'Unit Summary - Rent Roll'!$K$27:$K$126,Overview!$L41))</f>
        <v/>
      </c>
      <c r="R41" s="437">
        <f t="shared" si="5"/>
        <v>0</v>
      </c>
    </row>
    <row r="42" spans="2:27" x14ac:dyDescent="0.3">
      <c r="B42" s="501" t="s">
        <v>66</v>
      </c>
      <c r="C42" s="28"/>
      <c r="D42" s="351" t="str">
        <f ca="1">'Unit Summary - Rent Roll'!K127</f>
        <v>NA</v>
      </c>
      <c r="F42" s="175" t="s">
        <v>67</v>
      </c>
      <c r="G42" s="176"/>
      <c r="H42" s="270">
        <f>SUM(H35:H41)</f>
        <v>0</v>
      </c>
      <c r="I42" s="270">
        <f t="shared" si="3"/>
        <v>0</v>
      </c>
      <c r="J42" s="310">
        <f t="shared" si="4"/>
        <v>0</v>
      </c>
      <c r="L42" s="436">
        <v>1.1000000000000001</v>
      </c>
      <c r="M42" s="429" t="str">
        <f>IF(SUMIFS('Unit Summary - Rent Roll'!$H$27:$H$126,'Unit Summary - Rent Roll'!$E$27:$E$126,Overview!M$22,'Unit Summary - Rent Roll'!$K$27:$K$126,Overview!$L42)=0,"",SUMIFS('Unit Summary - Rent Roll'!$H$27:$H$126,'Unit Summary - Rent Roll'!$E$27:$E$126,Overview!M$22,'Unit Summary - Rent Roll'!$K$27:$K$126,Overview!$L42))</f>
        <v/>
      </c>
      <c r="N42" s="429" t="str">
        <f>IF(SUMIFS('Unit Summary - Rent Roll'!$H$27:$H$126,'Unit Summary - Rent Roll'!$E$27:$E$126,Overview!N$22,'Unit Summary - Rent Roll'!$K$27:$K$126,Overview!$L42)=0,"",SUMIFS('Unit Summary - Rent Roll'!$H$27:$H$126,'Unit Summary - Rent Roll'!$E$27:$E$126,Overview!N$22,'Unit Summary - Rent Roll'!$K$27:$K$126,Overview!$L42))</f>
        <v/>
      </c>
      <c r="O42" s="429" t="str">
        <f>IF(SUMIFS('Unit Summary - Rent Roll'!$H$27:$H$126,'Unit Summary - Rent Roll'!$E$27:$E$126,Overview!O$22,'Unit Summary - Rent Roll'!$K$27:$K$126,Overview!$L42)=0,"",SUMIFS('Unit Summary - Rent Roll'!$H$27:$H$126,'Unit Summary - Rent Roll'!$E$27:$E$126,Overview!O$22,'Unit Summary - Rent Roll'!$K$27:$K$126,Overview!$L42))</f>
        <v/>
      </c>
      <c r="P42" s="429" t="str">
        <f>IF(SUMIFS('Unit Summary - Rent Roll'!$H$27:$H$126,'Unit Summary - Rent Roll'!$E$27:$E$126,Overview!P$22,'Unit Summary - Rent Roll'!$K$27:$K$126,Overview!$L42)=0,"",SUMIFS('Unit Summary - Rent Roll'!$H$27:$H$126,'Unit Summary - Rent Roll'!$E$27:$E$126,Overview!P$22,'Unit Summary - Rent Roll'!$K$27:$K$126,Overview!$L42))</f>
        <v/>
      </c>
      <c r="Q42" s="426" t="str">
        <f>IF(SUMIFS('Unit Summary - Rent Roll'!$H$27:$H$126,'Unit Summary - Rent Roll'!$E$27:$E$126,Overview!Q$22,'Unit Summary - Rent Roll'!$K$27:$K$126,Overview!$L42)=0,"",SUMIFS('Unit Summary - Rent Roll'!$H$27:$H$126,'Unit Summary - Rent Roll'!$E$27:$E$126,Overview!Q$22,'Unit Summary - Rent Roll'!$K$27:$K$126,Overview!$L42))</f>
        <v/>
      </c>
      <c r="R42" s="437">
        <f t="shared" si="5"/>
        <v>0</v>
      </c>
    </row>
    <row r="43" spans="2:27" ht="14.4" x14ac:dyDescent="0.3">
      <c r="B43" s="501" t="s">
        <v>68</v>
      </c>
      <c r="C43" s="28"/>
      <c r="D43" s="352" t="str">
        <f ca="1">'Unit Summary - Rent Roll'!K128</f>
        <v>NA</v>
      </c>
      <c r="F43" s="258"/>
      <c r="H43" s="259" t="b">
        <f>IF(H42=H48,TRUE,FALSE)</f>
        <v>1</v>
      </c>
      <c r="I43" s="259"/>
      <c r="J43" s="16"/>
      <c r="L43" s="436">
        <v>1.1499999999999999</v>
      </c>
      <c r="M43" s="429" t="str">
        <f>IF(SUMIFS('Unit Summary - Rent Roll'!$H$27:$H$126,'Unit Summary - Rent Roll'!$E$27:$E$126,Overview!M$22,'Unit Summary - Rent Roll'!$K$27:$K$126,Overview!$L43)=0,"",SUMIFS('Unit Summary - Rent Roll'!$H$27:$H$126,'Unit Summary - Rent Roll'!$E$27:$E$126,Overview!M$22,'Unit Summary - Rent Roll'!$K$27:$K$126,Overview!$L43))</f>
        <v/>
      </c>
      <c r="N43" s="429" t="str">
        <f>IF(SUMIFS('Unit Summary - Rent Roll'!$H$27:$H$126,'Unit Summary - Rent Roll'!$E$27:$E$126,Overview!N$22,'Unit Summary - Rent Roll'!$K$27:$K$126,Overview!$L43)=0,"",SUMIFS('Unit Summary - Rent Roll'!$H$27:$H$126,'Unit Summary - Rent Roll'!$E$27:$E$126,Overview!N$22,'Unit Summary - Rent Roll'!$K$27:$K$126,Overview!$L43))</f>
        <v/>
      </c>
      <c r="O43" s="429" t="str">
        <f>IF(SUMIFS('Unit Summary - Rent Roll'!$H$27:$H$126,'Unit Summary - Rent Roll'!$E$27:$E$126,Overview!O$22,'Unit Summary - Rent Roll'!$K$27:$K$126,Overview!$L43)=0,"",SUMIFS('Unit Summary - Rent Roll'!$H$27:$H$126,'Unit Summary - Rent Roll'!$E$27:$E$126,Overview!O$22,'Unit Summary - Rent Roll'!$K$27:$K$126,Overview!$L43))</f>
        <v/>
      </c>
      <c r="P43" s="429" t="str">
        <f>IF(SUMIFS('Unit Summary - Rent Roll'!$H$27:$H$126,'Unit Summary - Rent Roll'!$E$27:$E$126,Overview!P$22,'Unit Summary - Rent Roll'!$K$27:$K$126,Overview!$L43)=0,"",SUMIFS('Unit Summary - Rent Roll'!$H$27:$H$126,'Unit Summary - Rent Roll'!$E$27:$E$126,Overview!P$22,'Unit Summary - Rent Roll'!$K$27:$K$126,Overview!$L43))</f>
        <v/>
      </c>
      <c r="Q43" s="426" t="str">
        <f>IF(SUMIFS('Unit Summary - Rent Roll'!$H$27:$H$126,'Unit Summary - Rent Roll'!$E$27:$E$126,Overview!Q$22,'Unit Summary - Rent Roll'!$K$27:$K$126,Overview!$L43)=0,"",SUMIFS('Unit Summary - Rent Roll'!$H$27:$H$126,'Unit Summary - Rent Roll'!$E$27:$E$126,Overview!Q$22,'Unit Summary - Rent Roll'!$K$27:$K$126,Overview!$L43))</f>
        <v/>
      </c>
      <c r="R43" s="437">
        <f t="shared" si="5"/>
        <v>0</v>
      </c>
      <c r="T43"/>
      <c r="U43"/>
    </row>
    <row r="44" spans="2:27" ht="14.4" x14ac:dyDescent="0.3">
      <c r="B44" s="25"/>
      <c r="C44" s="30"/>
      <c r="D44" s="31"/>
      <c r="F44" s="265" t="s">
        <v>69</v>
      </c>
      <c r="G44" s="266"/>
      <c r="H44" s="267"/>
      <c r="I44" s="267"/>
      <c r="J44" s="268"/>
      <c r="L44" s="436">
        <v>1.2</v>
      </c>
      <c r="M44" s="429" t="str">
        <f>IF(SUMIFS('Unit Summary - Rent Roll'!$H$27:$H$126,'Unit Summary - Rent Roll'!$E$27:$E$126,Overview!M$22,'Unit Summary - Rent Roll'!$K$27:$K$126,Overview!$L44)=0,"",SUMIFS('Unit Summary - Rent Roll'!$H$27:$H$126,'Unit Summary - Rent Roll'!$E$27:$E$126,Overview!M$22,'Unit Summary - Rent Roll'!$K$27:$K$126,Overview!$L44))</f>
        <v/>
      </c>
      <c r="N44" s="429" t="str">
        <f>IF(SUMIFS('Unit Summary - Rent Roll'!$H$27:$H$126,'Unit Summary - Rent Roll'!$E$27:$E$126,Overview!N$22,'Unit Summary - Rent Roll'!$K$27:$K$126,Overview!$L44)=0,"",SUMIFS('Unit Summary - Rent Roll'!$H$27:$H$126,'Unit Summary - Rent Roll'!$E$27:$E$126,Overview!N$22,'Unit Summary - Rent Roll'!$K$27:$K$126,Overview!$L44))</f>
        <v/>
      </c>
      <c r="O44" s="429" t="str">
        <f>IF(SUMIFS('Unit Summary - Rent Roll'!$H$27:$H$126,'Unit Summary - Rent Roll'!$E$27:$E$126,Overview!O$22,'Unit Summary - Rent Roll'!$K$27:$K$126,Overview!$L44)=0,"",SUMIFS('Unit Summary - Rent Roll'!$H$27:$H$126,'Unit Summary - Rent Roll'!$E$27:$E$126,Overview!O$22,'Unit Summary - Rent Roll'!$K$27:$K$126,Overview!$L44))</f>
        <v/>
      </c>
      <c r="P44" s="429" t="str">
        <f>IF(SUMIFS('Unit Summary - Rent Roll'!$H$27:$H$126,'Unit Summary - Rent Roll'!$E$27:$E$126,Overview!P$22,'Unit Summary - Rent Roll'!$K$27:$K$126,Overview!$L44)=0,"",SUMIFS('Unit Summary - Rent Roll'!$H$27:$H$126,'Unit Summary - Rent Roll'!$E$27:$E$126,Overview!P$22,'Unit Summary - Rent Roll'!$K$27:$K$126,Overview!$L44))</f>
        <v/>
      </c>
      <c r="Q44" s="426" t="str">
        <f>IF(SUMIFS('Unit Summary - Rent Roll'!$H$27:$H$126,'Unit Summary - Rent Roll'!$E$27:$E$126,Overview!Q$22,'Unit Summary - Rent Roll'!$K$27:$K$126,Overview!$L44)=0,"",SUMIFS('Unit Summary - Rent Roll'!$H$27:$H$126,'Unit Summary - Rent Roll'!$E$27:$E$126,Overview!Q$22,'Unit Summary - Rent Roll'!$K$27:$K$126,Overview!$L44))</f>
        <v/>
      </c>
      <c r="R44" s="437">
        <f t="shared" si="5"/>
        <v>0</v>
      </c>
      <c r="T44"/>
      <c r="U44"/>
    </row>
    <row r="45" spans="2:27" x14ac:dyDescent="0.3">
      <c r="F45" s="15" t="s">
        <v>70</v>
      </c>
      <c r="H45" s="269">
        <f>IF($D$17="Standard Workforce Housing (SWHP)",'Financials- SWHP'!P55,'Financials-FTHP &amp; GAHP'!M56)</f>
        <v>0</v>
      </c>
      <c r="I45" s="269">
        <f>IFERROR(H45/$D$31,0)</f>
        <v>0</v>
      </c>
      <c r="J45" s="309">
        <f>IFERROR(H45/$H$48,0)</f>
        <v>0</v>
      </c>
      <c r="L45" s="436" t="s">
        <v>71</v>
      </c>
      <c r="M45" s="429" t="str">
        <f>IF(SUMIFS('Unit Summary - Rent Roll'!$H$27:$H$126,'Unit Summary - Rent Roll'!$E$27:$E$126,Overview!M$22,'Unit Summary - Rent Roll'!$K$27:$K$126,Overview!$L45)=0,"",SUMIFS('Unit Summary - Rent Roll'!$H$27:$H$126,'Unit Summary - Rent Roll'!$E$27:$E$126,Overview!M$22,'Unit Summary - Rent Roll'!$K$27:$K$126,Overview!$L45))</f>
        <v/>
      </c>
      <c r="N45" s="429" t="str">
        <f>IF(SUMIFS('Unit Summary - Rent Roll'!$H$27:$H$126,'Unit Summary - Rent Roll'!$E$27:$E$126,Overview!N$22,'Unit Summary - Rent Roll'!$K$27:$K$126,Overview!$L45)=0,"",SUMIFS('Unit Summary - Rent Roll'!$H$27:$H$126,'Unit Summary - Rent Roll'!$E$27:$E$126,Overview!N$22,'Unit Summary - Rent Roll'!$K$27:$K$126,Overview!$L45))</f>
        <v/>
      </c>
      <c r="O45" s="429" t="str">
        <f>IF(SUMIFS('Unit Summary - Rent Roll'!$H$27:$H$126,'Unit Summary - Rent Roll'!$E$27:$E$126,Overview!O$22,'Unit Summary - Rent Roll'!$K$27:$K$126,Overview!$L45)=0,"",SUMIFS('Unit Summary - Rent Roll'!$H$27:$H$126,'Unit Summary - Rent Roll'!$E$27:$E$126,Overview!O$22,'Unit Summary - Rent Roll'!$K$27:$K$126,Overview!$L45))</f>
        <v/>
      </c>
      <c r="P45" s="429" t="str">
        <f>IF(SUMIFS('Unit Summary - Rent Roll'!$H$27:$H$126,'Unit Summary - Rent Roll'!$E$27:$E$126,Overview!P$22,'Unit Summary - Rent Roll'!$K$27:$K$126,Overview!$L45)=0,"",SUMIFS('Unit Summary - Rent Roll'!$H$27:$H$126,'Unit Summary - Rent Roll'!$E$27:$E$126,Overview!P$22,'Unit Summary - Rent Roll'!$K$27:$K$126,Overview!$L45))</f>
        <v/>
      </c>
      <c r="Q45" s="426" t="str">
        <f>IF(SUMIFS('Unit Summary - Rent Roll'!$H$27:$H$126,'Unit Summary - Rent Roll'!$E$27:$E$126,Overview!Q$22,'Unit Summary - Rent Roll'!$K$27:$K$126,Overview!$L45)=0,"",SUMIFS('Unit Summary - Rent Roll'!$H$27:$H$126,'Unit Summary - Rent Roll'!$E$27:$E$126,Overview!Q$22,'Unit Summary - Rent Roll'!$K$27:$K$126,Overview!$L45))</f>
        <v/>
      </c>
      <c r="R45" s="437">
        <f>SUM(M45:Q45)</f>
        <v>0</v>
      </c>
    </row>
    <row r="46" spans="2:27" x14ac:dyDescent="0.3">
      <c r="F46" s="15" t="s">
        <v>72</v>
      </c>
      <c r="H46" s="269">
        <f>IF($D$17="Standard Workforce Housing (SWHP)",'Financials- SWHP'!P56,'Financials-FTHP &amp; GAHP'!M57)</f>
        <v>0</v>
      </c>
      <c r="I46" s="269">
        <f>IFERROR(H46/$D$31,0)</f>
        <v>0</v>
      </c>
      <c r="J46" s="309">
        <f>IFERROR(H46/$H$48,0)</f>
        <v>0</v>
      </c>
      <c r="L46" s="549" t="s">
        <v>35</v>
      </c>
      <c r="M46" s="438">
        <f t="shared" ref="M46:R46" si="6">SUM(M23:M45)</f>
        <v>0</v>
      </c>
      <c r="N46" s="438">
        <f t="shared" si="6"/>
        <v>0</v>
      </c>
      <c r="O46" s="438">
        <f t="shared" si="6"/>
        <v>0</v>
      </c>
      <c r="P46" s="438">
        <f t="shared" si="6"/>
        <v>0</v>
      </c>
      <c r="Q46" s="438">
        <f t="shared" si="6"/>
        <v>0</v>
      </c>
      <c r="R46" s="550">
        <f t="shared" si="6"/>
        <v>0</v>
      </c>
    </row>
    <row r="47" spans="2:27" x14ac:dyDescent="0.3">
      <c r="F47" s="15" t="s">
        <v>73</v>
      </c>
      <c r="H47" s="269">
        <f>IF($D$17="Standard Workforce Housing (SWHP)",'Financials- SWHP'!P57,'Financials-FTHP &amp; GAHP'!M58)</f>
        <v>0</v>
      </c>
      <c r="I47" s="269">
        <f>IFERROR(H47/$D$31,0)</f>
        <v>0</v>
      </c>
      <c r="J47" s="309">
        <f>IFERROR(H47/$H$48,0)</f>
        <v>0</v>
      </c>
    </row>
    <row r="48" spans="2:27" x14ac:dyDescent="0.3">
      <c r="F48" s="175" t="s">
        <v>74</v>
      </c>
      <c r="G48" s="176"/>
      <c r="H48" s="270">
        <f>SUM(H45:H47)</f>
        <v>0</v>
      </c>
      <c r="I48" s="270">
        <f>IFERROR(H48/$D$31,0)</f>
        <v>0</v>
      </c>
      <c r="J48" s="310">
        <f>IFERROR(H48/$H$48,0)</f>
        <v>0</v>
      </c>
      <c r="L48" s="6" t="s">
        <v>75</v>
      </c>
      <c r="M48" s="9"/>
      <c r="N48" s="9"/>
      <c r="O48" s="9"/>
      <c r="P48" s="9"/>
      <c r="Q48" s="9"/>
      <c r="R48" s="9"/>
      <c r="S48" s="9"/>
      <c r="T48" s="9"/>
      <c r="U48" s="9"/>
      <c r="V48" s="9"/>
      <c r="W48" s="9"/>
      <c r="X48" s="9"/>
      <c r="Y48" s="9"/>
      <c r="Z48" s="9"/>
      <c r="AA48" s="77"/>
    </row>
    <row r="49" spans="6:27" x14ac:dyDescent="0.3">
      <c r="F49" s="260"/>
      <c r="G49" s="174"/>
      <c r="H49" s="20"/>
      <c r="I49" s="20"/>
      <c r="J49" s="18"/>
      <c r="L49" s="343"/>
      <c r="M49" s="344">
        <v>1</v>
      </c>
      <c r="N49" s="344">
        <f>M49+1</f>
        <v>2</v>
      </c>
      <c r="O49" s="344">
        <f t="shared" ref="O49:AA49" si="7">N49+1</f>
        <v>3</v>
      </c>
      <c r="P49" s="344">
        <f t="shared" si="7"/>
        <v>4</v>
      </c>
      <c r="Q49" s="344">
        <f t="shared" si="7"/>
        <v>5</v>
      </c>
      <c r="R49" s="344">
        <f t="shared" si="7"/>
        <v>6</v>
      </c>
      <c r="S49" s="344">
        <f>R49+1</f>
        <v>7</v>
      </c>
      <c r="T49" s="344">
        <f t="shared" si="7"/>
        <v>8</v>
      </c>
      <c r="U49" s="344">
        <f t="shared" si="7"/>
        <v>9</v>
      </c>
      <c r="V49" s="344">
        <f t="shared" si="7"/>
        <v>10</v>
      </c>
      <c r="W49" s="344">
        <f t="shared" si="7"/>
        <v>11</v>
      </c>
      <c r="X49" s="344">
        <f t="shared" si="7"/>
        <v>12</v>
      </c>
      <c r="Y49" s="344">
        <f t="shared" si="7"/>
        <v>13</v>
      </c>
      <c r="Z49" s="344">
        <f t="shared" si="7"/>
        <v>14</v>
      </c>
      <c r="AA49" s="344">
        <f t="shared" si="7"/>
        <v>15</v>
      </c>
    </row>
    <row r="50" spans="6:27" x14ac:dyDescent="0.3">
      <c r="L50" s="342" t="s">
        <v>76</v>
      </c>
      <c r="M50" s="345"/>
      <c r="N50" s="348">
        <v>0.02</v>
      </c>
      <c r="O50" s="348">
        <f>N50</f>
        <v>0.02</v>
      </c>
      <c r="P50" s="348">
        <v>0.02</v>
      </c>
      <c r="Q50" s="348">
        <v>0.02</v>
      </c>
      <c r="R50" s="348">
        <v>0.02</v>
      </c>
      <c r="S50" s="348">
        <v>0.02</v>
      </c>
      <c r="T50" s="348">
        <v>0.02</v>
      </c>
      <c r="U50" s="348">
        <v>0.02</v>
      </c>
      <c r="V50" s="348">
        <v>0.02</v>
      </c>
      <c r="W50" s="348">
        <v>0.02</v>
      </c>
      <c r="X50" s="348">
        <v>0.02</v>
      </c>
      <c r="Y50" s="348">
        <v>0.02</v>
      </c>
      <c r="Z50" s="348">
        <v>0.02</v>
      </c>
      <c r="AA50" s="349">
        <v>0.02</v>
      </c>
    </row>
    <row r="51" spans="6:27" x14ac:dyDescent="0.3">
      <c r="L51" s="342" t="s">
        <v>77</v>
      </c>
      <c r="M51" s="346">
        <f ca="1">'Unit Summary - Rent Roll'!AB127</f>
        <v>0</v>
      </c>
      <c r="N51" s="346">
        <f ca="1">M51*(1+N50)</f>
        <v>0</v>
      </c>
      <c r="O51" s="346">
        <f t="shared" ref="O51:AA51" ca="1" si="8">N51*(1+O50)</f>
        <v>0</v>
      </c>
      <c r="P51" s="346">
        <f t="shared" ca="1" si="8"/>
        <v>0</v>
      </c>
      <c r="Q51" s="346">
        <f t="shared" ca="1" si="8"/>
        <v>0</v>
      </c>
      <c r="R51" s="346">
        <f t="shared" ca="1" si="8"/>
        <v>0</v>
      </c>
      <c r="S51" s="346">
        <f ca="1">R51*(1+S50)</f>
        <v>0</v>
      </c>
      <c r="T51" s="346">
        <f t="shared" ca="1" si="8"/>
        <v>0</v>
      </c>
      <c r="U51" s="346">
        <f t="shared" ca="1" si="8"/>
        <v>0</v>
      </c>
      <c r="V51" s="346">
        <f t="shared" ca="1" si="8"/>
        <v>0</v>
      </c>
      <c r="W51" s="346">
        <f t="shared" ca="1" si="8"/>
        <v>0</v>
      </c>
      <c r="X51" s="346">
        <f t="shared" ca="1" si="8"/>
        <v>0</v>
      </c>
      <c r="Y51" s="346">
        <f t="shared" ca="1" si="8"/>
        <v>0</v>
      </c>
      <c r="Z51" s="346">
        <f t="shared" ca="1" si="8"/>
        <v>0</v>
      </c>
      <c r="AA51" s="347">
        <f t="shared" ca="1" si="8"/>
        <v>0</v>
      </c>
    </row>
    <row r="56" spans="6:27" ht="14.4" x14ac:dyDescent="0.3">
      <c r="L56"/>
    </row>
    <row r="57" spans="6:27" ht="14.4" x14ac:dyDescent="0.3">
      <c r="L57"/>
    </row>
    <row r="58" spans="6:27" ht="14.4" x14ac:dyDescent="0.3">
      <c r="L58"/>
    </row>
    <row r="59" spans="6:27" ht="14.4" x14ac:dyDescent="0.3">
      <c r="L59"/>
    </row>
    <row r="60" spans="6:27" ht="14.4" x14ac:dyDescent="0.3">
      <c r="L60"/>
    </row>
    <row r="61" spans="6:27" ht="14.4" x14ac:dyDescent="0.3">
      <c r="L61"/>
    </row>
    <row r="62" spans="6:27" ht="14.4" x14ac:dyDescent="0.3">
      <c r="L62"/>
    </row>
    <row r="63" spans="6:27" ht="14.4" x14ac:dyDescent="0.3">
      <c r="L63"/>
    </row>
    <row r="64" spans="6:27" ht="14.4" x14ac:dyDescent="0.3">
      <c r="L64"/>
    </row>
    <row r="65" spans="12:12" ht="14.4" x14ac:dyDescent="0.3">
      <c r="L65"/>
    </row>
    <row r="66" spans="12:12" ht="14.4" x14ac:dyDescent="0.3">
      <c r="L66"/>
    </row>
    <row r="67" spans="12:12" ht="14.4" x14ac:dyDescent="0.3">
      <c r="L67"/>
    </row>
    <row r="68" spans="12:12" ht="14.4" x14ac:dyDescent="0.3">
      <c r="L68"/>
    </row>
    <row r="69" spans="12:12" ht="14.4" x14ac:dyDescent="0.3">
      <c r="L69"/>
    </row>
    <row r="70" spans="12:12" ht="14.4" x14ac:dyDescent="0.3">
      <c r="L70"/>
    </row>
    <row r="71" spans="12:12" ht="14.4" x14ac:dyDescent="0.3">
      <c r="L71"/>
    </row>
    <row r="72" spans="12:12" ht="14.4" x14ac:dyDescent="0.3">
      <c r="L72"/>
    </row>
    <row r="73" spans="12:12" ht="14.4" x14ac:dyDescent="0.3">
      <c r="L73"/>
    </row>
    <row r="74" spans="12:12" ht="14.4" x14ac:dyDescent="0.3">
      <c r="L74"/>
    </row>
    <row r="75" spans="12:12" ht="14.4" x14ac:dyDescent="0.3">
      <c r="L75"/>
    </row>
    <row r="76" spans="12:12" ht="14.4" x14ac:dyDescent="0.3">
      <c r="L76"/>
    </row>
  </sheetData>
  <sheetProtection sheet="1" objects="1" scenarios="1"/>
  <protectedRanges>
    <protectedRange sqref="D23:D24 D26:D27 D30 D39 D35 T44 D12:D16 L36:L45" name="Overview"/>
  </protectedRanges>
  <mergeCells count="7">
    <mergeCell ref="H12:H14"/>
    <mergeCell ref="I12:I14"/>
    <mergeCell ref="G11:I11"/>
    <mergeCell ref="B4:H6"/>
    <mergeCell ref="B22:C22"/>
    <mergeCell ref="F22:G22"/>
    <mergeCell ref="G12:G1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EA789B5-193E-4689-9261-8BE7E05939ED}">
          <x14:formula1>
            <xm:f>List!$AC$5:$AC$7</xm:f>
          </x14:formula1>
          <xm:sqref>D13</xm:sqref>
        </x14:dataValidation>
        <x14:dataValidation type="list" allowBlank="1" showInputMessage="1" showErrorMessage="1" xr:uid="{CD1AE751-BE86-4D01-98DB-D2CB96C703EB}">
          <x14:formula1>
            <xm:f>List!$W$5:$W$7</xm:f>
          </x14:formula1>
          <xm:sqref>D15</xm:sqref>
        </x14:dataValidation>
        <x14:dataValidation type="list" allowBlank="1" showInputMessage="1" showErrorMessage="1" xr:uid="{7F486651-AFBD-409A-B5AB-FEBA6E9690BB}">
          <x14:formula1>
            <xm:f>List!$AA$5:$AA$6</xm:f>
          </x14:formula1>
          <xm:sqref>D14:E14</xm:sqref>
        </x14:dataValidation>
        <x14:dataValidation type="list" allowBlank="1" showInputMessage="1" showErrorMessage="1" xr:uid="{B3A66E35-2AD9-4157-8973-EB285C42C28B}">
          <x14:formula1>
            <xm:f>List!$AI$5:$AI$8</xm:f>
          </x14:formula1>
          <xm:sqref>D12</xm:sqref>
        </x14:dataValidation>
        <x14:dataValidation type="list" allowBlank="1" showInputMessage="1" showErrorMessage="1" xr:uid="{22EE6F33-8C01-431B-BD10-7E109C8A2FC1}">
          <x14:formula1>
            <xm:f>List!$Y$5:$Y$7</xm:f>
          </x14:formula1>
          <xm:sqref>D16</xm:sqref>
        </x14:dataValidation>
        <x14:dataValidation type="list" allowBlank="1" showInputMessage="1" showErrorMessage="1" xr:uid="{5FA0A9F5-4641-4D94-81AA-75713584DFA7}">
          <x14:formula1>
            <xm:f>List!$D$5:$D$19</xm:f>
          </x14:formula1>
          <xm:sqref>L36:L45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DB1C-83AD-467A-A562-4E1F75F214EB}">
  <dimension ref="B1:AP136"/>
  <sheetViews>
    <sheetView showGridLines="0" topLeftCell="A16" zoomScaleNormal="100" workbookViewId="0">
      <selection activeCell="C27" sqref="C27:D27"/>
    </sheetView>
  </sheetViews>
  <sheetFormatPr defaultColWidth="15.6640625" defaultRowHeight="12.75" customHeight="1" outlineLevelCol="1" x14ac:dyDescent="0.3"/>
  <cols>
    <col min="1" max="1" width="2.6640625" style="1" customWidth="1"/>
    <col min="2" max="12" width="15.6640625" style="1" customWidth="1"/>
    <col min="13" max="20" width="15.6640625" style="1" customWidth="1" outlineLevel="1"/>
    <col min="21" max="33" width="15.6640625" style="1" customWidth="1"/>
    <col min="34" max="34" width="27.33203125" style="1" bestFit="1" customWidth="1"/>
    <col min="35" max="36" width="15.6640625" style="1"/>
    <col min="37" max="37" width="101.6640625" style="1" customWidth="1"/>
    <col min="38" max="16384" width="15.6640625" style="1"/>
  </cols>
  <sheetData>
    <row r="1" spans="2:42" s="4" customFormat="1" ht="15.6" x14ac:dyDescent="0.3">
      <c r="B1" s="4" t="s">
        <v>0</v>
      </c>
    </row>
    <row r="2" spans="2:42" s="5" customFormat="1" ht="15" customHeight="1" x14ac:dyDescent="0.3">
      <c r="B2" s="5" t="s">
        <v>78</v>
      </c>
      <c r="U2"/>
      <c r="AH2" s="1"/>
      <c r="AI2" s="1"/>
      <c r="AJ2" s="1"/>
      <c r="AK2" s="1"/>
    </row>
    <row r="3" spans="2:42" s="5" customFormat="1" ht="15" customHeight="1" x14ac:dyDescent="0.3">
      <c r="P3"/>
      <c r="Q3"/>
      <c r="R3"/>
      <c r="S3"/>
      <c r="T3"/>
      <c r="U3"/>
      <c r="AH3" s="1"/>
      <c r="AI3" s="1"/>
      <c r="AJ3" s="1"/>
      <c r="AK3" s="1"/>
    </row>
    <row r="4" spans="2:42" s="5" customFormat="1" ht="15" customHeight="1" x14ac:dyDescent="0.3">
      <c r="B4" s="580" t="s">
        <v>79</v>
      </c>
      <c r="C4" s="581"/>
      <c r="D4" s="581"/>
      <c r="E4" s="581"/>
      <c r="F4" s="581"/>
      <c r="G4" s="581"/>
      <c r="H4" s="581"/>
      <c r="I4" s="581"/>
      <c r="J4" s="581"/>
      <c r="K4" s="582"/>
      <c r="L4" s="1"/>
      <c r="P4"/>
      <c r="Q4"/>
      <c r="R4"/>
      <c r="X4" s="32" t="s">
        <v>80</v>
      </c>
      <c r="Y4" s="33"/>
      <c r="Z4" s="34"/>
      <c r="AH4" s="1"/>
      <c r="AI4" s="1"/>
      <c r="AJ4" s="1"/>
      <c r="AK4" s="1"/>
    </row>
    <row r="5" spans="2:42" s="5" customFormat="1" ht="14.4" customHeight="1" x14ac:dyDescent="0.3">
      <c r="B5" s="583"/>
      <c r="C5" s="584"/>
      <c r="D5" s="584"/>
      <c r="E5" s="584"/>
      <c r="F5" s="584"/>
      <c r="G5" s="584"/>
      <c r="H5" s="584"/>
      <c r="I5" s="584"/>
      <c r="J5" s="584"/>
      <c r="K5" s="585"/>
      <c r="L5" s="1"/>
      <c r="P5"/>
      <c r="Q5"/>
      <c r="R5"/>
      <c r="X5" s="589" t="s">
        <v>81</v>
      </c>
      <c r="Y5" s="590"/>
      <c r="Z5" s="75" t="s">
        <v>82</v>
      </c>
      <c r="AH5" s="1"/>
      <c r="AI5" s="1"/>
      <c r="AJ5" s="1"/>
      <c r="AK5" s="1"/>
    </row>
    <row r="6" spans="2:42" s="5" customFormat="1" ht="14.4" customHeight="1" x14ac:dyDescent="0.3">
      <c r="B6" s="583"/>
      <c r="C6" s="584"/>
      <c r="D6" s="584"/>
      <c r="E6" s="584"/>
      <c r="F6" s="584"/>
      <c r="G6" s="584"/>
      <c r="H6" s="584"/>
      <c r="I6" s="584"/>
      <c r="J6" s="584"/>
      <c r="K6" s="585"/>
      <c r="L6" s="1"/>
      <c r="P6"/>
      <c r="Q6"/>
      <c r="R6"/>
      <c r="X6" s="11" t="s">
        <v>83</v>
      </c>
      <c r="Y6" s="12" t="s">
        <v>84</v>
      </c>
      <c r="Z6" s="353" t="s">
        <v>85</v>
      </c>
      <c r="AH6" s="1"/>
      <c r="AI6" s="1"/>
      <c r="AJ6" s="1"/>
      <c r="AK6" s="1"/>
    </row>
    <row r="7" spans="2:42" s="5" customFormat="1" ht="14.4" customHeight="1" x14ac:dyDescent="0.3">
      <c r="B7" s="583"/>
      <c r="C7" s="584"/>
      <c r="D7" s="584"/>
      <c r="E7" s="584"/>
      <c r="F7" s="584"/>
      <c r="G7" s="584"/>
      <c r="H7" s="584"/>
      <c r="I7" s="584"/>
      <c r="J7" s="584"/>
      <c r="K7" s="585"/>
      <c r="L7" s="1"/>
      <c r="P7"/>
      <c r="Q7"/>
      <c r="R7"/>
      <c r="X7" s="13"/>
      <c r="Y7" s="14" t="s">
        <v>86</v>
      </c>
      <c r="Z7" s="354" t="s">
        <v>85</v>
      </c>
      <c r="AH7" s="1"/>
      <c r="AI7" s="1"/>
      <c r="AJ7" s="1"/>
      <c r="AK7" s="1"/>
    </row>
    <row r="8" spans="2:42" s="5" customFormat="1" ht="14.4" customHeight="1" x14ac:dyDescent="0.3">
      <c r="B8" s="583"/>
      <c r="C8" s="584"/>
      <c r="D8" s="584"/>
      <c r="E8" s="584"/>
      <c r="F8" s="584"/>
      <c r="G8" s="584"/>
      <c r="H8" s="584"/>
      <c r="I8" s="584"/>
      <c r="J8" s="584"/>
      <c r="K8" s="585"/>
      <c r="L8" s="1"/>
      <c r="P8"/>
      <c r="Q8"/>
      <c r="R8"/>
      <c r="X8" s="13"/>
      <c r="Y8" s="14" t="s">
        <v>87</v>
      </c>
      <c r="Z8" s="354" t="s">
        <v>85</v>
      </c>
      <c r="AH8" s="1"/>
      <c r="AI8" s="1"/>
      <c r="AJ8" s="1"/>
      <c r="AK8" s="1"/>
    </row>
    <row r="9" spans="2:42" s="5" customFormat="1" ht="14.4" customHeight="1" x14ac:dyDescent="0.3">
      <c r="B9" s="583"/>
      <c r="C9" s="584"/>
      <c r="D9" s="584"/>
      <c r="E9" s="584"/>
      <c r="F9" s="584"/>
      <c r="G9" s="584"/>
      <c r="H9" s="584"/>
      <c r="I9" s="584"/>
      <c r="J9" s="584"/>
      <c r="K9" s="585"/>
      <c r="L9" s="1"/>
      <c r="P9"/>
      <c r="Q9"/>
      <c r="R9"/>
      <c r="X9" s="13" t="s">
        <v>88</v>
      </c>
      <c r="Y9" s="14" t="s">
        <v>84</v>
      </c>
      <c r="Z9" s="354" t="s">
        <v>85</v>
      </c>
      <c r="AH9" s="1"/>
      <c r="AI9" s="1"/>
      <c r="AJ9" s="1"/>
      <c r="AK9" s="1"/>
    </row>
    <row r="10" spans="2:42" s="5" customFormat="1" ht="14.4" customHeight="1" x14ac:dyDescent="0.3">
      <c r="B10" s="583"/>
      <c r="C10" s="584"/>
      <c r="D10" s="584"/>
      <c r="E10" s="584"/>
      <c r="F10" s="584"/>
      <c r="G10" s="584"/>
      <c r="H10" s="584"/>
      <c r="I10" s="584"/>
      <c r="J10" s="584"/>
      <c r="K10" s="585"/>
      <c r="L10" s="1"/>
      <c r="P10"/>
      <c r="Q10"/>
      <c r="R10"/>
      <c r="X10" s="13"/>
      <c r="Y10" s="14" t="s">
        <v>89</v>
      </c>
      <c r="Z10" s="354" t="s">
        <v>85</v>
      </c>
      <c r="AH10" s="1"/>
      <c r="AI10" s="1"/>
      <c r="AJ10" s="1"/>
      <c r="AK10" s="1"/>
    </row>
    <row r="11" spans="2:42" s="5" customFormat="1" ht="14.4" customHeight="1" x14ac:dyDescent="0.3">
      <c r="B11" s="583"/>
      <c r="C11" s="584"/>
      <c r="D11" s="584"/>
      <c r="E11" s="584"/>
      <c r="F11" s="584"/>
      <c r="G11" s="584"/>
      <c r="H11" s="584"/>
      <c r="I11" s="584"/>
      <c r="J11" s="584"/>
      <c r="K11" s="585"/>
      <c r="L11" s="1"/>
      <c r="P11"/>
      <c r="Q11"/>
      <c r="R11"/>
      <c r="X11" s="13" t="s">
        <v>90</v>
      </c>
      <c r="Y11" s="14" t="s">
        <v>84</v>
      </c>
      <c r="Z11" s="354" t="s">
        <v>85</v>
      </c>
      <c r="AH11" s="1"/>
      <c r="AI11" s="1"/>
      <c r="AJ11" s="1"/>
      <c r="AK11" s="1"/>
    </row>
    <row r="12" spans="2:42" s="5" customFormat="1" ht="14.4" customHeight="1" x14ac:dyDescent="0.3">
      <c r="B12" s="583"/>
      <c r="C12" s="584"/>
      <c r="D12" s="584"/>
      <c r="E12" s="584"/>
      <c r="F12" s="584"/>
      <c r="G12" s="584"/>
      <c r="H12" s="584"/>
      <c r="I12" s="584"/>
      <c r="J12" s="584"/>
      <c r="K12" s="585"/>
      <c r="L12" s="1"/>
      <c r="P12"/>
      <c r="Q12"/>
      <c r="R12"/>
      <c r="X12" s="13"/>
      <c r="Y12" s="14" t="s">
        <v>89</v>
      </c>
      <c r="Z12" s="354" t="s">
        <v>85</v>
      </c>
      <c r="AB12" s="295" t="s">
        <v>91</v>
      </c>
      <c r="AC12" s="296"/>
      <c r="AD12" s="297"/>
      <c r="AH12" s="1"/>
      <c r="AI12" s="1"/>
      <c r="AJ12" s="1"/>
      <c r="AK12" s="1"/>
      <c r="AN12" s="1"/>
      <c r="AO12" s="1"/>
      <c r="AP12" s="1"/>
    </row>
    <row r="13" spans="2:42" ht="14.4" customHeight="1" x14ac:dyDescent="0.3">
      <c r="B13" s="583"/>
      <c r="C13" s="584"/>
      <c r="D13" s="584"/>
      <c r="E13" s="584"/>
      <c r="F13" s="584"/>
      <c r="G13" s="584"/>
      <c r="H13" s="584"/>
      <c r="I13" s="584"/>
      <c r="J13" s="584"/>
      <c r="K13" s="585"/>
      <c r="P13"/>
      <c r="Q13"/>
      <c r="R13"/>
      <c r="X13" s="15" t="s">
        <v>92</v>
      </c>
      <c r="Y13" s="16"/>
      <c r="Z13" s="354" t="s">
        <v>85</v>
      </c>
      <c r="AB13" s="299" t="s">
        <v>93</v>
      </c>
      <c r="AC13" s="300" t="s">
        <v>94</v>
      </c>
      <c r="AD13" s="543" t="s">
        <v>95</v>
      </c>
    </row>
    <row r="14" spans="2:42" ht="14.4" x14ac:dyDescent="0.3">
      <c r="B14" s="583"/>
      <c r="C14" s="584"/>
      <c r="D14" s="584"/>
      <c r="E14" s="584"/>
      <c r="F14" s="584"/>
      <c r="G14" s="584"/>
      <c r="H14" s="584"/>
      <c r="I14" s="584"/>
      <c r="J14" s="584"/>
      <c r="K14" s="585"/>
      <c r="P14"/>
      <c r="Q14"/>
      <c r="R14"/>
      <c r="X14" s="15" t="s">
        <v>96</v>
      </c>
      <c r="Y14" s="16"/>
      <c r="Z14" s="354" t="s">
        <v>85</v>
      </c>
      <c r="AA14" s="252"/>
      <c r="AB14" s="298" t="s">
        <v>30</v>
      </c>
      <c r="AC14" s="301">
        <v>0</v>
      </c>
      <c r="AD14" s="302">
        <v>0</v>
      </c>
    </row>
    <row r="15" spans="2:42" ht="12.75" customHeight="1" x14ac:dyDescent="0.3">
      <c r="B15" s="586"/>
      <c r="C15" s="587"/>
      <c r="D15" s="587"/>
      <c r="E15" s="587"/>
      <c r="F15" s="587"/>
      <c r="G15" s="587"/>
      <c r="H15" s="587"/>
      <c r="I15" s="587"/>
      <c r="J15" s="587"/>
      <c r="K15" s="588"/>
      <c r="P15"/>
      <c r="Q15"/>
      <c r="R15"/>
      <c r="X15" s="15" t="s">
        <v>97</v>
      </c>
      <c r="Y15" s="16"/>
      <c r="Z15" s="354" t="s">
        <v>85</v>
      </c>
      <c r="AA15"/>
      <c r="AB15" s="258" t="s">
        <v>31</v>
      </c>
      <c r="AC15" s="303">
        <v>0</v>
      </c>
      <c r="AD15" s="304">
        <v>0</v>
      </c>
    </row>
    <row r="16" spans="2:42" ht="12.75" customHeight="1" x14ac:dyDescent="0.3">
      <c r="P16"/>
      <c r="Q16"/>
      <c r="R16"/>
      <c r="X16" s="15" t="s">
        <v>98</v>
      </c>
      <c r="Y16" s="16"/>
      <c r="Z16" s="354" t="s">
        <v>85</v>
      </c>
      <c r="AA16"/>
      <c r="AB16" s="258" t="s">
        <v>32</v>
      </c>
      <c r="AC16" s="303">
        <v>0</v>
      </c>
      <c r="AD16" s="304">
        <v>0</v>
      </c>
    </row>
    <row r="17" spans="2:42" ht="12.75" customHeight="1" x14ac:dyDescent="0.3">
      <c r="P17"/>
      <c r="Q17"/>
      <c r="R17"/>
      <c r="X17" s="15" t="s">
        <v>99</v>
      </c>
      <c r="Y17" s="16"/>
      <c r="Z17" s="354" t="s">
        <v>85</v>
      </c>
      <c r="AA17"/>
      <c r="AB17" s="258" t="s">
        <v>33</v>
      </c>
      <c r="AC17" s="303">
        <v>0</v>
      </c>
      <c r="AD17" s="304">
        <v>0</v>
      </c>
    </row>
    <row r="18" spans="2:42" ht="12.75" customHeight="1" x14ac:dyDescent="0.3">
      <c r="B18" s="61" t="s">
        <v>3</v>
      </c>
      <c r="C18" s="194" t="s">
        <v>4</v>
      </c>
      <c r="D18" s="62" t="s">
        <v>5</v>
      </c>
      <c r="E18" s="62" t="s">
        <v>6</v>
      </c>
      <c r="F18" s="313" t="s">
        <v>100</v>
      </c>
      <c r="P18"/>
      <c r="Q18"/>
      <c r="R18"/>
      <c r="X18" s="355" t="s">
        <v>101</v>
      </c>
      <c r="Y18" s="18"/>
      <c r="Z18" s="356" t="s">
        <v>85</v>
      </c>
      <c r="AB18" s="17" t="s">
        <v>34</v>
      </c>
      <c r="AC18" s="305">
        <v>0</v>
      </c>
      <c r="AD18" s="306">
        <v>0</v>
      </c>
    </row>
    <row r="19" spans="2:42" customFormat="1" ht="12.75" customHeight="1" x14ac:dyDescent="0.3">
      <c r="AL19" s="1"/>
      <c r="AN19" s="1"/>
      <c r="AO19" s="1"/>
      <c r="AP19" s="1"/>
    </row>
    <row r="21" spans="2:42" ht="13.8" x14ac:dyDescent="0.3">
      <c r="B21" s="544" t="s">
        <v>78</v>
      </c>
      <c r="C21" s="545"/>
      <c r="D21" s="545"/>
      <c r="E21" s="545"/>
      <c r="F21" s="545"/>
      <c r="G21" s="545"/>
      <c r="H21" s="545"/>
      <c r="I21" s="545"/>
      <c r="J21" s="545"/>
      <c r="K21" s="545"/>
      <c r="L21" s="545"/>
      <c r="M21" s="591" t="s">
        <v>102</v>
      </c>
      <c r="N21" s="592"/>
      <c r="O21" s="592"/>
      <c r="P21" s="592"/>
      <c r="Q21" s="592"/>
      <c r="R21" s="592"/>
      <c r="S21" s="592"/>
      <c r="T21" s="593"/>
      <c r="U21" s="545"/>
      <c r="V21" s="545"/>
      <c r="W21" s="545"/>
      <c r="X21" s="545"/>
      <c r="Y21" s="545"/>
      <c r="Z21" s="545"/>
      <c r="AA21" s="545"/>
      <c r="AB21" s="545"/>
      <c r="AC21" s="545"/>
      <c r="AD21" s="545"/>
      <c r="AE21" s="546"/>
      <c r="AF21" s="546"/>
      <c r="AG21" s="546"/>
      <c r="AH21" s="546"/>
      <c r="AI21" s="546"/>
      <c r="AJ21" s="546"/>
      <c r="AK21" s="546"/>
    </row>
    <row r="22" spans="2:42" ht="12.75" customHeight="1" x14ac:dyDescent="0.3">
      <c r="B22" s="553" t="s">
        <v>103</v>
      </c>
      <c r="C22" s="568" t="s">
        <v>104</v>
      </c>
      <c r="D22" s="569"/>
      <c r="E22" s="594" t="s">
        <v>105</v>
      </c>
      <c r="F22" s="594" t="s">
        <v>106</v>
      </c>
      <c r="G22" s="553" t="s">
        <v>107</v>
      </c>
      <c r="H22" s="553" t="s">
        <v>108</v>
      </c>
      <c r="I22" s="553" t="s">
        <v>109</v>
      </c>
      <c r="J22" s="553" t="s">
        <v>110</v>
      </c>
      <c r="K22" s="553" t="s">
        <v>111</v>
      </c>
      <c r="L22" s="553" t="s">
        <v>112</v>
      </c>
      <c r="M22" s="597" t="s">
        <v>113</v>
      </c>
      <c r="N22" s="597" t="s">
        <v>114</v>
      </c>
      <c r="O22" s="597" t="s">
        <v>115</v>
      </c>
      <c r="P22" s="597" t="s">
        <v>116</v>
      </c>
      <c r="Q22" s="597" t="s">
        <v>117</v>
      </c>
      <c r="R22" s="604" t="s">
        <v>118</v>
      </c>
      <c r="S22" s="605"/>
      <c r="T22" s="606"/>
      <c r="U22" s="575" t="s">
        <v>119</v>
      </c>
      <c r="V22" s="576"/>
      <c r="W22" s="577"/>
      <c r="X22" s="575" t="s">
        <v>120</v>
      </c>
      <c r="Y22" s="576"/>
      <c r="Z22" s="576"/>
      <c r="AA22" s="576"/>
      <c r="AB22" s="577"/>
      <c r="AC22" s="575" t="s">
        <v>121</v>
      </c>
      <c r="AD22" s="576"/>
      <c r="AE22" s="577"/>
      <c r="AF22" s="578" t="s">
        <v>122</v>
      </c>
      <c r="AG22" s="578" t="s">
        <v>123</v>
      </c>
      <c r="AH22" s="553" t="s">
        <v>124</v>
      </c>
      <c r="AI22" s="553" t="s">
        <v>125</v>
      </c>
      <c r="AJ22" s="553" t="s">
        <v>126</v>
      </c>
      <c r="AK22" s="553" t="s">
        <v>127</v>
      </c>
    </row>
    <row r="23" spans="2:42" ht="12.75" customHeight="1" x14ac:dyDescent="0.3">
      <c r="B23" s="554"/>
      <c r="C23" s="595"/>
      <c r="D23" s="596"/>
      <c r="E23" s="594"/>
      <c r="F23" s="594"/>
      <c r="G23" s="554"/>
      <c r="H23" s="554"/>
      <c r="I23" s="554"/>
      <c r="J23" s="554"/>
      <c r="K23" s="554"/>
      <c r="L23" s="554"/>
      <c r="M23" s="598"/>
      <c r="N23" s="598"/>
      <c r="O23" s="598"/>
      <c r="P23" s="598"/>
      <c r="Q23" s="598"/>
      <c r="R23" s="599" t="s">
        <v>94</v>
      </c>
      <c r="S23" s="599" t="s">
        <v>128</v>
      </c>
      <c r="T23" s="573" t="s">
        <v>129</v>
      </c>
      <c r="U23" s="594" t="s">
        <v>94</v>
      </c>
      <c r="V23" s="594" t="s">
        <v>128</v>
      </c>
      <c r="W23" s="602" t="s">
        <v>130</v>
      </c>
      <c r="X23" s="594" t="s">
        <v>94</v>
      </c>
      <c r="Y23" s="553" t="s">
        <v>95</v>
      </c>
      <c r="Z23" s="553" t="s">
        <v>131</v>
      </c>
      <c r="AA23" s="553" t="s">
        <v>132</v>
      </c>
      <c r="AB23" s="602" t="s">
        <v>133</v>
      </c>
      <c r="AC23" s="577" t="s">
        <v>94</v>
      </c>
      <c r="AD23" s="575" t="s">
        <v>128</v>
      </c>
      <c r="AE23" s="602" t="s">
        <v>134</v>
      </c>
      <c r="AF23" s="579"/>
      <c r="AG23" s="579"/>
      <c r="AH23" s="554"/>
      <c r="AI23" s="554"/>
      <c r="AJ23" s="554"/>
      <c r="AK23" s="554"/>
    </row>
    <row r="24" spans="2:42" ht="13.8" x14ac:dyDescent="0.3">
      <c r="B24" s="554"/>
      <c r="C24" s="595"/>
      <c r="D24" s="596"/>
      <c r="E24" s="553"/>
      <c r="F24" s="553"/>
      <c r="G24" s="554"/>
      <c r="H24" s="554"/>
      <c r="I24" s="554"/>
      <c r="J24" s="554"/>
      <c r="K24" s="555"/>
      <c r="L24" s="554"/>
      <c r="M24" s="598"/>
      <c r="N24" s="598"/>
      <c r="O24" s="598"/>
      <c r="P24" s="598"/>
      <c r="Q24" s="598"/>
      <c r="R24" s="597"/>
      <c r="S24" s="597"/>
      <c r="T24" s="574"/>
      <c r="U24" s="553"/>
      <c r="V24" s="553"/>
      <c r="W24" s="603"/>
      <c r="X24" s="553"/>
      <c r="Y24" s="554"/>
      <c r="Z24" s="554"/>
      <c r="AA24" s="554"/>
      <c r="AB24" s="603"/>
      <c r="AC24" s="569"/>
      <c r="AD24" s="568"/>
      <c r="AE24" s="603"/>
      <c r="AF24" s="579"/>
      <c r="AG24" s="579"/>
      <c r="AH24" s="554"/>
      <c r="AI24" s="554"/>
      <c r="AJ24" s="554"/>
      <c r="AK24" s="555"/>
    </row>
    <row r="25" spans="2:42" s="369" customFormat="1" ht="13.8" x14ac:dyDescent="0.3">
      <c r="B25" s="382" t="s">
        <v>135</v>
      </c>
      <c r="C25" s="608" t="s">
        <v>136</v>
      </c>
      <c r="D25" s="608"/>
      <c r="E25" s="390" t="s">
        <v>31</v>
      </c>
      <c r="F25" s="391">
        <v>500</v>
      </c>
      <c r="G25" s="390" t="s">
        <v>85</v>
      </c>
      <c r="H25" s="390">
        <v>10</v>
      </c>
      <c r="I25" s="394">
        <f>H25*F25</f>
        <v>5000</v>
      </c>
      <c r="J25" s="396" t="s">
        <v>137</v>
      </c>
      <c r="K25" s="398">
        <v>0.8</v>
      </c>
      <c r="L25" s="404" t="s">
        <v>138</v>
      </c>
      <c r="M25" s="409">
        <v>0</v>
      </c>
      <c r="N25" s="399" t="s">
        <v>139</v>
      </c>
      <c r="O25" s="398" t="str">
        <f>IFERROR(INDEX('Data - Reference'!$B$37:$B$58,MATCH('Unit Summary - Rent Roll'!$M25,INDEX('Data - Reference'!$B$37:$J$58,,MATCH('Unit Summary - Rent Roll'!$N25,'Data - Reference'!$B$37:$J$58,0)),-1),1),"NA")</f>
        <v>NA</v>
      </c>
      <c r="P25" s="400" t="s">
        <v>85</v>
      </c>
      <c r="Q25" s="396" t="s">
        <v>85</v>
      </c>
      <c r="R25" s="416">
        <v>0</v>
      </c>
      <c r="S25" s="378">
        <f>IFERROR(R25/$F25,0)</f>
        <v>0</v>
      </c>
      <c r="T25" s="379">
        <f>IF(G25="Y",R25*$H25*12,0)</f>
        <v>0</v>
      </c>
      <c r="U25" s="419">
        <v>996</v>
      </c>
      <c r="V25" s="378">
        <v>1.8</v>
      </c>
      <c r="W25" s="379">
        <v>10800</v>
      </c>
      <c r="X25" s="420">
        <v>1080</v>
      </c>
      <c r="Y25" s="431">
        <v>-84</v>
      </c>
      <c r="Z25" s="431">
        <v>996</v>
      </c>
      <c r="AA25" s="432">
        <v>1.99</v>
      </c>
      <c r="AB25" s="433">
        <v>11952</v>
      </c>
      <c r="AC25" s="432">
        <f>IF(AND($R25=$U25,$R25&gt;0,$U25&gt;0,$Z25&gt;0),MIN($R25,$U25,$Z25),
IF(AND($R25&lt;$U25,$Z25&gt;0),MIN($U25,$Z25),
$U25))</f>
        <v>996</v>
      </c>
      <c r="AD25" s="434">
        <f>IFERROR(AC25/$F25,0)</f>
        <v>1.992</v>
      </c>
      <c r="AE25" s="433">
        <f>AC25*$H25*12</f>
        <v>119520</v>
      </c>
      <c r="AF25" s="423" t="str">
        <f>IFERROR(IF(J25="Market","NA",IF(U25=0,"NA",IF(U25&gt;=Z25,"N","Y"))),"NA")</f>
        <v>N</v>
      </c>
      <c r="AG25" s="538" t="str">
        <f>IF(V25=0,"NA",IF(V25&gt;AA25,"N","Y"))</f>
        <v>Y</v>
      </c>
      <c r="AH25" s="421" t="str">
        <f>IFERROR(IF(OR(G25="N",AE25=0),"NA",
IF(M25=0,"Input Current Household Income",
IF(G25="Y",IF(OR(J25="PBV - Income-Restricted",(U25-Y25)&lt;=M25/12*0.3),"Y","N"),"NA"))),"NA")</f>
        <v>NA</v>
      </c>
      <c r="AI25" s="383" t="str">
        <f>IFERROR(IF(AE25=0,"NA",
IF(G25="Y",IF(OR(J25="PBV - Income-Restricted",AC25/R25-1&lt;=0.05),"Y","N"),"NA")),"NA")</f>
        <v>NA</v>
      </c>
      <c r="AJ25" s="383" t="str">
        <f>IFERROR(IF(G25="N","NA",
(IF(AND(J25="Market",O25&gt;80%),"4",
IF(AND(O25&lt;=K25,O25&lt;=80%),"1a",
IF(AND(O25&lt;=K25,O25&gt;80%,O25&lt;=120%),"1b",
IF(AND(O25&gt;K25,O25&lt;=80%),"2a",
IF(AND(O25&gt;80%,O25&lt;=120%,O25-K25&lt;=20%),"2b",
IF(AND(O25&gt;80%,O25&lt;=120%,O25-K25&gt;20%),"3a",
IF(OR(M25=0,O25&gt;120%),"3b",
"Other"))))))))),"NA")</f>
        <v>NA</v>
      </c>
      <c r="AK25" s="536" t="str">
        <f>IFERROR(IF(AH25=0,"NA",
IF(I25="Y",IF(OR(L25="PBV - Income-Restricted",AE25/T25-1&lt;=0.05),"Y","N"),"NA")),"NA")</f>
        <v>NA</v>
      </c>
    </row>
    <row r="26" spans="2:42" s="369" customFormat="1" ht="13.8" x14ac:dyDescent="0.3">
      <c r="B26" s="384" t="s">
        <v>140</v>
      </c>
      <c r="C26" s="607" t="s">
        <v>136</v>
      </c>
      <c r="D26" s="607"/>
      <c r="E26" s="392" t="s">
        <v>31</v>
      </c>
      <c r="F26" s="393">
        <v>500</v>
      </c>
      <c r="G26" s="392" t="s">
        <v>141</v>
      </c>
      <c r="H26" s="392">
        <v>1</v>
      </c>
      <c r="I26" s="395">
        <v>500</v>
      </c>
      <c r="J26" s="397" t="s">
        <v>137</v>
      </c>
      <c r="K26" s="401">
        <v>0.8</v>
      </c>
      <c r="L26" s="405" t="s">
        <v>138</v>
      </c>
      <c r="M26" s="410">
        <v>35000</v>
      </c>
      <c r="N26" s="402" t="s">
        <v>142</v>
      </c>
      <c r="O26" s="401">
        <f>IF(OR(M26=0,N26="NA"),"NA",IFERROR(INDEX('Data - Reference'!$B$37:$B$50,MATCH('Unit Summary - Rent Roll'!$M26,INDEX('Data - Reference'!$B$37:$J$50,,MATCH('Unit Summary - Rent Roll'!$N26,'Data - Reference'!$B$37:$J$37,0)),-1),1),"NA"))</f>
        <v>0.5</v>
      </c>
      <c r="P26" s="403" t="s">
        <v>141</v>
      </c>
      <c r="Q26" s="397" t="s">
        <v>85</v>
      </c>
      <c r="R26" s="415">
        <v>800</v>
      </c>
      <c r="S26" s="417">
        <v>1.6</v>
      </c>
      <c r="T26" s="418">
        <v>9600</v>
      </c>
      <c r="U26" s="385">
        <v>1500</v>
      </c>
      <c r="V26" s="417">
        <v>1.8</v>
      </c>
      <c r="W26" s="418">
        <v>10800</v>
      </c>
      <c r="X26" s="387">
        <v>1080</v>
      </c>
      <c r="Y26" s="422">
        <v>-84</v>
      </c>
      <c r="Z26" s="422">
        <v>996</v>
      </c>
      <c r="AA26" s="386">
        <v>1.99</v>
      </c>
      <c r="AB26" s="418">
        <v>11952</v>
      </c>
      <c r="AC26" s="385">
        <f>IF(AND($R26=$U26,$R26&gt;0,$U26&gt;0,$Z26&gt;0),MIN($R26,$U26,$Z26),
IF(AND($R26&lt;$U26,$Z26&gt;0),MIN($U26,$Z26),
$U26))</f>
        <v>996</v>
      </c>
      <c r="AD26" s="417">
        <f>IFERROR(AC26/$F26,0)</f>
        <v>1.992</v>
      </c>
      <c r="AE26" s="418">
        <f>AC26*$H26*12</f>
        <v>11952</v>
      </c>
      <c r="AF26" s="388" t="str">
        <f t="shared" ref="AF26:AF89" si="0">IFERROR(IF(J26="Market","NA",IF(U26=0,"NA",IF(U26&gt;=Z26,"N","Y"))),"NA")</f>
        <v>N</v>
      </c>
      <c r="AG26" s="428" t="str">
        <f>IF(V26=0,"NA",IF(V26&gt;AA26,"N","Y"))</f>
        <v>Y</v>
      </c>
      <c r="AH26" s="428" t="str">
        <f t="shared" ref="AH26:AH89" si="1">IFERROR(IF(OR(G26="N",AE26=0),"NA",
IF(M26=0,"Input Current Household Income",
IF(G26="Y",IF(OR(J26="PBV - Income-Restricted",(U26-Y26)&lt;=M26/12*0.3),"Y","N"),"NA"))),"NA")</f>
        <v>N</v>
      </c>
      <c r="AI26" s="389" t="str">
        <f>IFERROR(IF(AE26=0,"NA",
IF(G26="Y",IF(OR(J26="PBV - Income-Restricted",AC26/R26-1&lt;=0.05),"Y","N"),"NA")),"NA")</f>
        <v>N</v>
      </c>
      <c r="AJ26" s="389" t="str">
        <f>IFERROR(IF(G26="N","NA",
(IF(AND(J26="Market",O26&gt;80%),"4",
IF(AND(O26&lt;=K26,O26&lt;=80%),"1a",
IF(AND(O26&lt;=K26,O26&gt;80%,O26&lt;=120%),"1b",
IF(AND(O26&gt;K26,O26&lt;=80%),"2a",
IF(AND(O26&gt;80%,O26&lt;=120%,O26-K26&lt;=20%),"2b",
IF(AND(O26&gt;80%,O26&lt;=120%,O26-K26&gt;20%),"3a",
IF(OR(M26=0,O26&gt;120%),"3b",
"Other"))))))))),"NA")</f>
        <v>1a</v>
      </c>
      <c r="AK26" s="537" t="str">
        <f>IFERROR(IF(AH26=0,"NA",
IF(I26="Y",IF(OR(L26="PBV - Income-Restricted",AE26/T26-1&lt;=0.05),"Y","N"),"NA")),"NA")</f>
        <v>NA</v>
      </c>
    </row>
    <row r="27" spans="2:42" ht="13.8" x14ac:dyDescent="0.3">
      <c r="B27" s="241">
        <v>1</v>
      </c>
      <c r="C27" s="600" t="s">
        <v>143</v>
      </c>
      <c r="D27" s="601"/>
      <c r="E27" s="190" t="s">
        <v>139</v>
      </c>
      <c r="F27" s="191">
        <v>0</v>
      </c>
      <c r="G27" s="244" t="s">
        <v>85</v>
      </c>
      <c r="H27" s="248">
        <v>0</v>
      </c>
      <c r="I27" s="381">
        <f t="shared" ref="I27:I58" si="2">F27*H27</f>
        <v>0</v>
      </c>
      <c r="J27" s="255" t="s">
        <v>139</v>
      </c>
      <c r="K27" s="517" t="s">
        <v>139</v>
      </c>
      <c r="L27" s="406" t="s">
        <v>139</v>
      </c>
      <c r="M27" s="411">
        <v>0</v>
      </c>
      <c r="N27" s="287" t="s">
        <v>139</v>
      </c>
      <c r="O27" s="308" t="str">
        <f>IF(OR(M27=0,N27="NA"),"NA",IFERROR(INDEX('Data - Reference'!$B$37:$B$50,MATCH('Unit Summary - Rent Roll'!$M27,INDEX('Data - Reference'!$B$37:$J$50,,MATCH('Unit Summary - Rent Roll'!$N27,'Data - Reference'!$B$37:$J$37,0)),-1),1),"NA"))</f>
        <v>NA</v>
      </c>
      <c r="P27" s="244" t="s">
        <v>85</v>
      </c>
      <c r="Q27" s="244" t="s">
        <v>85</v>
      </c>
      <c r="R27" s="193">
        <v>0</v>
      </c>
      <c r="S27" s="370">
        <f t="shared" ref="S27:S58" si="3">IFERROR(R27/$F27,0)</f>
        <v>0</v>
      </c>
      <c r="T27" s="101">
        <f t="shared" ref="T27:T58" si="4">IF(G27="Y",R27*$H27*12,0)</f>
        <v>0</v>
      </c>
      <c r="U27" s="193">
        <v>0</v>
      </c>
      <c r="V27" s="370">
        <f t="shared" ref="V27:V58" si="5">IFERROR(U27/$F27,0)</f>
        <v>0</v>
      </c>
      <c r="W27" s="101">
        <f>U27*$H27*12</f>
        <v>0</v>
      </c>
      <c r="X27" s="72">
        <f>IFERROR(IF(INDEX(AC$14:AC$18,MATCH($E27,$AB$14:$AB$18,0))&lt;&gt;0,INDEX(AC$14:AC$18,MATCH($E27,$AB$14:$AB$18,0)),
IF($M27="Market",0,IF($L27="HUD FMR",INDEX('Data - Reference'!$B$31:$G$31,MATCH($E27,'Data - Reference'!$B$9:$G$9,0)),INDEX('Data - Reference'!$B$9:$G$31,MATCH($K27,'Data - Reference'!$B$9:$B$31,0),MATCH($E27,'Data - Reference'!$B$9:$G$9,0))))),0)</f>
        <v>0</v>
      </c>
      <c r="Y27" s="72">
        <f>IFERROR(IF(INDEX(AD$14:AD$18,MATCH($E27,$AB$14:$AB$18,0))&lt;&gt;0,INDEX(AD$14:AD$18,MATCH($E27,$AB$14:$AB$18,0)),
IF($K27="None - Market",0,-INDEX('Data - Reference'!$B$32:$G$32,MATCH($E27,'Data - Reference'!$B$9:$G$9,0)))),0)</f>
        <v>0</v>
      </c>
      <c r="Z27" s="76">
        <f>SUM(X27:Y27)</f>
        <v>0</v>
      </c>
      <c r="AA27" s="67">
        <f t="shared" ref="AA27:AA58" si="6">IFERROR(Z27/$F27,0)</f>
        <v>0</v>
      </c>
      <c r="AB27" s="101">
        <f>Z27*$H27*12</f>
        <v>0</v>
      </c>
      <c r="AC27" s="84">
        <f>IF(AND($R27=$U27,$R27&gt;0,$U27&gt;0,$Z27&gt;0),MIN($R27,$U27,$Z27),
IF(AND($R27&lt;$U27,$Z27&gt;0),MIN($U27,$Z27),
$U27))</f>
        <v>0</v>
      </c>
      <c r="AD27" s="86">
        <f t="shared" ref="AD27:AD58" si="7">IFERROR(AC27/$F27,0)</f>
        <v>0</v>
      </c>
      <c r="AE27" s="101">
        <f>AC27*$H27*12</f>
        <v>0</v>
      </c>
      <c r="AF27" s="424" t="str">
        <f t="shared" si="0"/>
        <v>NA</v>
      </c>
      <c r="AG27" s="429" t="str">
        <f>IFERROR(IF(AND(OR(AJ27="1a",AJ27="2a"),OR(AH27="Y",AI27="Y")),"Y",
IF(AND(OR(AJ27="1b",AJ27="2b"),AF27="Y"),"Y",
IF(AJ27="4","Y",
IF(AJ27="NA","NA",
"N")))),"NA")</f>
        <v>NA</v>
      </c>
      <c r="AH27" s="429" t="str">
        <f t="shared" si="1"/>
        <v>NA</v>
      </c>
      <c r="AI27" s="426" t="str">
        <f>IFERROR(IF(AE27=0,"NA",
IF(G27="Y",IF(OR(J27="PBV - Income-Restricted",AC27/R27-1&lt;=0.05),"Y","N"),"NA")),"NA")</f>
        <v>NA</v>
      </c>
      <c r="AJ27" s="426" t="str">
        <f>IFERROR(IF(G27="N","NA",
(IF(AND(J27="Market",O27&gt;80%),"4",
IF(AND(O27&lt;=K27,O27&lt;=80%),"1a",
IF(AND(O27&lt;=K27,O27&gt;80%,O27&lt;=120%),"1b",
IF(AND(O27&gt;K27,O27&lt;=80%),"2a",
IF(AND(O27&gt;80%,O27&lt;=120%,O27-K27&lt;=20%),"2b",
IF(AND(O27&gt;80%,O27&lt;=120%,O27-K27&gt;20%),"3a",
IF(OR(M27=0,O27&gt;120%),"3b",
"Other"))))))))),"NA")</f>
        <v>NA</v>
      </c>
      <c r="AK27" s="535" t="str">
        <f>IFERROR(INDEX('Current Tenant Policy-Reference'!Q:Q,MATCH('Unit Summary - Rent Roll'!AJ27,'Current Tenant Policy-Reference'!O:O,0)),"NA")</f>
        <v>NA</v>
      </c>
    </row>
    <row r="28" spans="2:42" ht="13.8" x14ac:dyDescent="0.3">
      <c r="B28" s="241">
        <v>2</v>
      </c>
      <c r="C28" s="600" t="s">
        <v>143</v>
      </c>
      <c r="D28" s="601"/>
      <c r="E28" s="190" t="s">
        <v>139</v>
      </c>
      <c r="F28" s="191">
        <v>0</v>
      </c>
      <c r="G28" s="244" t="s">
        <v>85</v>
      </c>
      <c r="H28" s="248">
        <v>0</v>
      </c>
      <c r="I28" s="381">
        <f>F28*H28</f>
        <v>0</v>
      </c>
      <c r="J28" s="255" t="s">
        <v>139</v>
      </c>
      <c r="K28" s="517" t="s">
        <v>139</v>
      </c>
      <c r="L28" s="406" t="s">
        <v>139</v>
      </c>
      <c r="M28" s="411">
        <v>0</v>
      </c>
      <c r="N28" s="287" t="s">
        <v>139</v>
      </c>
      <c r="O28" s="308" t="str">
        <f>IF(OR(M28=0,N28="NA"),"NA",IFERROR(INDEX('Data - Reference'!$B$37:$B$50,MATCH('Unit Summary - Rent Roll'!$M28,INDEX('Data - Reference'!$B$37:$J$50,,MATCH('Unit Summary - Rent Roll'!$N28,'Data - Reference'!$B$37:$J$37,0)),-1),1),"NA"))</f>
        <v>NA</v>
      </c>
      <c r="P28" s="244" t="s">
        <v>85</v>
      </c>
      <c r="Q28" s="244" t="s">
        <v>85</v>
      </c>
      <c r="R28" s="193">
        <v>0</v>
      </c>
      <c r="S28" s="370">
        <f t="shared" si="3"/>
        <v>0</v>
      </c>
      <c r="T28" s="101">
        <f t="shared" si="4"/>
        <v>0</v>
      </c>
      <c r="U28" s="193">
        <v>0</v>
      </c>
      <c r="V28" s="370">
        <f t="shared" si="5"/>
        <v>0</v>
      </c>
      <c r="W28" s="101">
        <f t="shared" ref="W28:W91" si="8">U28*$H28*12</f>
        <v>0</v>
      </c>
      <c r="X28" s="72">
        <f>IFERROR(IF(INDEX(AC$14:AC$18,MATCH($E28,$AB$14:$AB$18,0))&lt;&gt;0,INDEX(AC$14:AC$18,MATCH($E28,$AB$14:$AB$18,0)),
IF($M28="Market",0,IF($L28="HUD FMR",INDEX('Data - Reference'!$B$31:$G$31,MATCH($E28,'Data - Reference'!$B$9:$G$9,0)),INDEX('Data - Reference'!$B$9:$G$31,MATCH($K28,'Data - Reference'!$B$9:$B$31,0),MATCH($E28,'Data - Reference'!$B$9:$G$9,0))))),0)</f>
        <v>0</v>
      </c>
      <c r="Y28" s="72">
        <f>IFERROR(IF(INDEX(AD$14:AD$18,MATCH($E28,$AB$14:$AB$18,0))&lt;&gt;0,INDEX(AD$14:AD$18,MATCH($E28,$AB$14:$AB$18,0)),
IF($K28="None - Market",0,-INDEX('Data - Reference'!$B$32:$G$32,MATCH($E28,'Data - Reference'!$B$9:$G$9,0)))),0)</f>
        <v>0</v>
      </c>
      <c r="Z28" s="76">
        <f t="shared" ref="Z28:Z58" si="9">SUM(X28:Y28)</f>
        <v>0</v>
      </c>
      <c r="AA28" s="67">
        <f t="shared" si="6"/>
        <v>0</v>
      </c>
      <c r="AB28" s="101">
        <f t="shared" ref="AB28:AB91" si="10">Z28*$H28*12</f>
        <v>0</v>
      </c>
      <c r="AC28" s="84">
        <f t="shared" ref="AC28:AC91" si="11">IF(AND($R28=$U28,$R28&gt;0,$U28&gt;0,$Z28&gt;0),MIN($R28,$U28,$Z28),
IF(AND($R28&lt;$U28,$Z28&gt;0),MIN($U28,$Z28),
$U28))</f>
        <v>0</v>
      </c>
      <c r="AD28" s="86">
        <f t="shared" si="7"/>
        <v>0</v>
      </c>
      <c r="AE28" s="101">
        <f t="shared" ref="AE28:AE91" si="12">AC28*$H28*12</f>
        <v>0</v>
      </c>
      <c r="AF28" s="424" t="str">
        <f t="shared" si="0"/>
        <v>NA</v>
      </c>
      <c r="AG28" s="429" t="str">
        <f t="shared" ref="AG28:AG91" si="13">IFERROR(IF(AND(OR(AJ28="1a",AJ28="2a"),OR(AH28="Y",AI28="Y")),"Y",
IF(AND(OR(AJ28="1b",AJ28="2b"),AF28="Y"),"Y",
IF(AJ28="4","Y",
IF(AJ28="NA","NA",
"N")))),"NA")</f>
        <v>NA</v>
      </c>
      <c r="AH28" s="429" t="str">
        <f t="shared" si="1"/>
        <v>NA</v>
      </c>
      <c r="AI28" s="426" t="str">
        <f t="shared" ref="AI28:AI91" si="14">IFERROR(IF(AE28=0,"NA",
IF(G28="Y",IF(OR(J28="PBV - Income-Restricted",AC28/R28-1&lt;=0.05),"Y","N"),"NA")),"NA")</f>
        <v>NA</v>
      </c>
      <c r="AJ28" s="426" t="str">
        <f t="shared" ref="AJ28:AJ91" si="15">IFERROR(IF(G28="N","NA",
(IF(AND(J28="Market",O28&gt;80%),"4",
IF(AND(O28&lt;=K28,O28&lt;=80%),"1a",
IF(AND(O28&lt;=K28,O28&gt;80%,O28&lt;=120%),"1b",
IF(AND(O28&gt;K28,O28&lt;=80%),"2a",
IF(AND(O28&gt;80%,O28&lt;=120%,O28-K28&lt;=20%),"2b",
IF(AND(O28&gt;80%,O28&lt;=120%,O28-K28&gt;20%),"3a",
IF(OR(M28=0,O28&gt;120%),"3b",
"Other"))))))))),"NA")</f>
        <v>NA</v>
      </c>
      <c r="AK28" s="535" t="str">
        <f>IFERROR(INDEX('Current Tenant Policy-Reference'!Q:Q,MATCH('Unit Summary - Rent Roll'!AJ28,'Current Tenant Policy-Reference'!O:O,0)),"NA")</f>
        <v>NA</v>
      </c>
    </row>
    <row r="29" spans="2:42" ht="13.8" x14ac:dyDescent="0.3">
      <c r="B29" s="241">
        <v>3</v>
      </c>
      <c r="C29" s="600" t="s">
        <v>143</v>
      </c>
      <c r="D29" s="601"/>
      <c r="E29" s="190" t="s">
        <v>139</v>
      </c>
      <c r="F29" s="191">
        <v>0</v>
      </c>
      <c r="G29" s="244" t="s">
        <v>85</v>
      </c>
      <c r="H29" s="248">
        <v>0</v>
      </c>
      <c r="I29" s="380">
        <f t="shared" si="2"/>
        <v>0</v>
      </c>
      <c r="J29" s="255" t="s">
        <v>139</v>
      </c>
      <c r="K29" s="517" t="s">
        <v>139</v>
      </c>
      <c r="L29" s="406" t="s">
        <v>139</v>
      </c>
      <c r="M29" s="411">
        <v>0</v>
      </c>
      <c r="N29" s="287" t="s">
        <v>139</v>
      </c>
      <c r="O29" s="308" t="str">
        <f>IF(OR(M29=0,N29="NA"),"NA",IFERROR(INDEX('Data - Reference'!$B$37:$B$50,MATCH('Unit Summary - Rent Roll'!$M29,INDEX('Data - Reference'!$B$37:$J$50,,MATCH('Unit Summary - Rent Roll'!$N29,'Data - Reference'!$B$37:$J$37,0)),-1),1),"NA"))</f>
        <v>NA</v>
      </c>
      <c r="P29" s="244" t="s">
        <v>85</v>
      </c>
      <c r="Q29" s="244" t="s">
        <v>85</v>
      </c>
      <c r="R29" s="193">
        <v>0</v>
      </c>
      <c r="S29" s="370">
        <f t="shared" si="3"/>
        <v>0</v>
      </c>
      <c r="T29" s="101">
        <f t="shared" si="4"/>
        <v>0</v>
      </c>
      <c r="U29" s="193">
        <v>0</v>
      </c>
      <c r="V29" s="370">
        <f t="shared" si="5"/>
        <v>0</v>
      </c>
      <c r="W29" s="101">
        <f t="shared" si="8"/>
        <v>0</v>
      </c>
      <c r="X29" s="72">
        <f>IFERROR(IF(INDEX(AC$14:AC$18,MATCH($E29,$AB$14:$AB$18,0))&lt;&gt;0,INDEX(AC$14:AC$18,MATCH($E29,$AB$14:$AB$18,0)),
IF($M29="Market",0,IF($L29="HUD FMR",INDEX('Data - Reference'!$B$31:$G$31,MATCH($E29,'Data - Reference'!$B$9:$G$9,0)),INDEX('Data - Reference'!$B$9:$G$31,MATCH($K29,'Data - Reference'!$B$9:$B$31,0),MATCH($E29,'Data - Reference'!$B$9:$G$9,0))))),0)</f>
        <v>0</v>
      </c>
      <c r="Y29" s="72">
        <f>IFERROR(IF(INDEX(AD$14:AD$18,MATCH($E29,$AB$14:$AB$18,0))&lt;&gt;0,INDEX(AD$14:AD$18,MATCH($E29,$AB$14:$AB$18,0)),
IF($K29="None - Market",0,-INDEX('Data - Reference'!$B$32:$G$32,MATCH($E29,'Data - Reference'!$B$9:$G$9,0)))),0)</f>
        <v>0</v>
      </c>
      <c r="Z29" s="76">
        <f t="shared" si="9"/>
        <v>0</v>
      </c>
      <c r="AA29" s="67">
        <f t="shared" si="6"/>
        <v>0</v>
      </c>
      <c r="AB29" s="101">
        <f t="shared" si="10"/>
        <v>0</v>
      </c>
      <c r="AC29" s="84">
        <f t="shared" si="11"/>
        <v>0</v>
      </c>
      <c r="AD29" s="86">
        <f t="shared" si="7"/>
        <v>0</v>
      </c>
      <c r="AE29" s="101">
        <f t="shared" si="12"/>
        <v>0</v>
      </c>
      <c r="AF29" s="424" t="str">
        <f t="shared" si="0"/>
        <v>NA</v>
      </c>
      <c r="AG29" s="429" t="str">
        <f t="shared" si="13"/>
        <v>NA</v>
      </c>
      <c r="AH29" s="429" t="str">
        <f t="shared" si="1"/>
        <v>NA</v>
      </c>
      <c r="AI29" s="426" t="str">
        <f t="shared" si="14"/>
        <v>NA</v>
      </c>
      <c r="AJ29" s="426" t="str">
        <f t="shared" si="15"/>
        <v>NA</v>
      </c>
      <c r="AK29" s="535" t="str">
        <f>IFERROR(INDEX('Current Tenant Policy-Reference'!Q:Q,MATCH('Unit Summary - Rent Roll'!AJ29,'Current Tenant Policy-Reference'!O:O,0)),"NA")</f>
        <v>NA</v>
      </c>
    </row>
    <row r="30" spans="2:42" ht="13.8" x14ac:dyDescent="0.3">
      <c r="B30" s="241">
        <v>4</v>
      </c>
      <c r="C30" s="600" t="s">
        <v>143</v>
      </c>
      <c r="D30" s="601"/>
      <c r="E30" s="190" t="s">
        <v>139</v>
      </c>
      <c r="F30" s="191">
        <v>0</v>
      </c>
      <c r="G30" s="244" t="s">
        <v>85</v>
      </c>
      <c r="H30" s="248">
        <v>0</v>
      </c>
      <c r="I30" s="380">
        <f>F30*H30</f>
        <v>0</v>
      </c>
      <c r="J30" s="255" t="s">
        <v>139</v>
      </c>
      <c r="K30" s="517" t="s">
        <v>139</v>
      </c>
      <c r="L30" s="406" t="s">
        <v>139</v>
      </c>
      <c r="M30" s="411">
        <v>0</v>
      </c>
      <c r="N30" s="287" t="s">
        <v>139</v>
      </c>
      <c r="O30" s="308" t="str">
        <f>IF(OR(M30=0,N30="NA"),"NA",IFERROR(INDEX('Data - Reference'!$B$37:$B$50,MATCH('Unit Summary - Rent Roll'!$M30,INDEX('Data - Reference'!$B$37:$J$50,,MATCH('Unit Summary - Rent Roll'!$N30,'Data - Reference'!$B$37:$J$37,0)),-1),1),"NA"))</f>
        <v>NA</v>
      </c>
      <c r="P30" s="244" t="s">
        <v>85</v>
      </c>
      <c r="Q30" s="244" t="s">
        <v>85</v>
      </c>
      <c r="R30" s="193">
        <v>0</v>
      </c>
      <c r="S30" s="370">
        <f>IFERROR(R30/$F30,0)</f>
        <v>0</v>
      </c>
      <c r="T30" s="101">
        <f>IF(G30="Y",R30*$H30*12,0)</f>
        <v>0</v>
      </c>
      <c r="U30" s="193">
        <v>0</v>
      </c>
      <c r="V30" s="370">
        <f>IFERROR(U30/$F30,0)</f>
        <v>0</v>
      </c>
      <c r="W30" s="101">
        <f>U30*$H30*12</f>
        <v>0</v>
      </c>
      <c r="X30" s="72">
        <f>IFERROR(IF(INDEX(AC$14:AC$18,MATCH($E30,$AB$14:$AB$18,0))&lt;&gt;0,INDEX(AC$14:AC$18,MATCH($E30,$AB$14:$AB$18,0)),
IF($M30="Market",0,IF($L30="HUD FMR",INDEX('Data - Reference'!$B$31:$G$31,MATCH($E30,'Data - Reference'!$B$9:$G$9,0)),INDEX('Data - Reference'!$B$9:$G$31,MATCH($K30,'Data - Reference'!$B$9:$B$31,0),MATCH($E30,'Data - Reference'!$B$9:$G$9,0))))),0)</f>
        <v>0</v>
      </c>
      <c r="Y30" s="72">
        <f>IFERROR(IF(INDEX(AD$14:AD$18,MATCH($E30,$AB$14:$AB$18,0))&lt;&gt;0,INDEX(AD$14:AD$18,MATCH($E30,$AB$14:$AB$18,0)),
IF($K30="None - Market",0,-INDEX('Data - Reference'!$B$32:$G$32,MATCH($E30,'Data - Reference'!$B$9:$G$9,0)))),0)</f>
        <v>0</v>
      </c>
      <c r="Z30" s="76">
        <f>SUM(X30:Y30)</f>
        <v>0</v>
      </c>
      <c r="AA30" s="67">
        <f>IFERROR(Z30/$F30,0)</f>
        <v>0</v>
      </c>
      <c r="AB30" s="101">
        <f>Z30*$H30*12</f>
        <v>0</v>
      </c>
      <c r="AC30" s="84">
        <f t="shared" si="11"/>
        <v>0</v>
      </c>
      <c r="AD30" s="86">
        <f>IFERROR(AC30/$F30,0)</f>
        <v>0</v>
      </c>
      <c r="AE30" s="101">
        <f>AC30*$H30*12</f>
        <v>0</v>
      </c>
      <c r="AF30" s="424" t="str">
        <f t="shared" si="0"/>
        <v>NA</v>
      </c>
      <c r="AG30" s="429" t="str">
        <f>IFERROR(IF(AND(OR(AJ30="1a",AJ30="2a"),OR(AH30="Y",AI30="Y")),"Y",
IF(AND(OR(AJ30="1b",AJ30="2b"),AF30="Y"),"Y",
IF(AJ30="4","Y",
IF(AJ30="NA","NA",
"N")))),"NA")</f>
        <v>NA</v>
      </c>
      <c r="AH30" s="429" t="str">
        <f t="shared" si="1"/>
        <v>NA</v>
      </c>
      <c r="AI30" s="426" t="str">
        <f>IFERROR(IF(AE30=0,"NA",
IF(G30="Y",IF(OR(J30="PBV - Income-Restricted",AC30/R30-1&lt;=0.05),"Y","N"),"NA")),"NA")</f>
        <v>NA</v>
      </c>
      <c r="AJ30" s="426" t="str">
        <f t="shared" si="15"/>
        <v>NA</v>
      </c>
      <c r="AK30" s="535" t="str">
        <f>IFERROR(INDEX('Current Tenant Policy-Reference'!Q:Q,MATCH('Unit Summary - Rent Roll'!AJ30,'Current Tenant Policy-Reference'!O:O,0)),"NA")</f>
        <v>NA</v>
      </c>
    </row>
    <row r="31" spans="2:42" ht="13.8" x14ac:dyDescent="0.3">
      <c r="B31" s="241">
        <v>5</v>
      </c>
      <c r="C31" s="600" t="s">
        <v>143</v>
      </c>
      <c r="D31" s="601"/>
      <c r="E31" s="190" t="s">
        <v>139</v>
      </c>
      <c r="F31" s="191">
        <v>0</v>
      </c>
      <c r="G31" s="244" t="s">
        <v>85</v>
      </c>
      <c r="H31" s="248">
        <v>0</v>
      </c>
      <c r="I31" s="380">
        <f>F31*H31</f>
        <v>0</v>
      </c>
      <c r="J31" s="255" t="s">
        <v>139</v>
      </c>
      <c r="K31" s="517" t="s">
        <v>139</v>
      </c>
      <c r="L31" s="406" t="s">
        <v>139</v>
      </c>
      <c r="M31" s="411">
        <v>0</v>
      </c>
      <c r="N31" s="287" t="s">
        <v>139</v>
      </c>
      <c r="O31" s="308" t="str">
        <f>IF(OR(M31=0,N31="NA"),"NA",IFERROR(INDEX('Data - Reference'!$B$37:$B$50,MATCH('Unit Summary - Rent Roll'!$M31,INDEX('Data - Reference'!$B$37:$J$50,,MATCH('Unit Summary - Rent Roll'!$N31,'Data - Reference'!$B$37:$J$37,0)),-1),1),"NA"))</f>
        <v>NA</v>
      </c>
      <c r="P31" s="244" t="s">
        <v>85</v>
      </c>
      <c r="Q31" s="244" t="s">
        <v>85</v>
      </c>
      <c r="R31" s="193">
        <v>0</v>
      </c>
      <c r="S31" s="370">
        <f>IFERROR(R31/$F31,0)</f>
        <v>0</v>
      </c>
      <c r="T31" s="101">
        <f>IF(G31="Y",R31*$H31*12,0)</f>
        <v>0</v>
      </c>
      <c r="U31" s="193">
        <v>0</v>
      </c>
      <c r="V31" s="370">
        <f>IFERROR(U31/$F31,0)</f>
        <v>0</v>
      </c>
      <c r="W31" s="101">
        <f>U31*$H31*12</f>
        <v>0</v>
      </c>
      <c r="X31" s="72">
        <f>IFERROR(IF(INDEX(AC$14:AC$18,MATCH($E31,$AB$14:$AB$18,0))&lt;&gt;0,INDEX(AC$14:AC$18,MATCH($E31,$AB$14:$AB$18,0)),
IF($M31="Market",0,IF($L31="HUD FMR",INDEX('Data - Reference'!$B$31:$G$31,MATCH($E31,'Data - Reference'!$B$9:$G$9,0)),INDEX('Data - Reference'!$B$9:$G$31,MATCH($K31,'Data - Reference'!$B$9:$B$31,0),MATCH($E31,'Data - Reference'!$B$9:$G$9,0))))),0)</f>
        <v>0</v>
      </c>
      <c r="Y31" s="72">
        <f>IFERROR(IF(INDEX(AD$14:AD$18,MATCH($E31,$AB$14:$AB$18,0))&lt;&gt;0,INDEX(AD$14:AD$18,MATCH($E31,$AB$14:$AB$18,0)),
IF($K31="None - Market",0,-INDEX('Data - Reference'!$B$32:$G$32,MATCH($E31,'Data - Reference'!$B$9:$G$9,0)))),0)</f>
        <v>0</v>
      </c>
      <c r="Z31" s="76">
        <f>SUM(X31:Y31)</f>
        <v>0</v>
      </c>
      <c r="AA31" s="67">
        <f>IFERROR(Z31/$F31,0)</f>
        <v>0</v>
      </c>
      <c r="AB31" s="101">
        <f>Z31*$H31*12</f>
        <v>0</v>
      </c>
      <c r="AC31" s="84">
        <f t="shared" si="11"/>
        <v>0</v>
      </c>
      <c r="AD31" s="86">
        <f>IFERROR(AC31/$F31,0)</f>
        <v>0</v>
      </c>
      <c r="AE31" s="101">
        <f>AC31*$H31*12</f>
        <v>0</v>
      </c>
      <c r="AF31" s="424" t="str">
        <f t="shared" si="0"/>
        <v>NA</v>
      </c>
      <c r="AG31" s="429" t="str">
        <f>IFERROR(IF(AND(OR(AJ31="1a",AJ31="2a"),OR(AH31="Y",AI31="Y")),"Y",
IF(AND(OR(AJ31="1b",AJ31="2b"),AF31="Y"),"Y",
IF(AJ31="4","Y",
IF(AJ31="NA","NA",
"N")))),"NA")</f>
        <v>NA</v>
      </c>
      <c r="AH31" s="429" t="str">
        <f t="shared" si="1"/>
        <v>NA</v>
      </c>
      <c r="AI31" s="426" t="str">
        <f>IFERROR(IF(AE31=0,"NA",
IF(G31="Y",IF(OR(J31="PBV - Income-Restricted",AC31/R31-1&lt;=0.05),"Y","N"),"NA")),"NA")</f>
        <v>NA</v>
      </c>
      <c r="AJ31" s="426" t="str">
        <f t="shared" si="15"/>
        <v>NA</v>
      </c>
      <c r="AK31" s="535" t="str">
        <f>IFERROR(INDEX('Current Tenant Policy-Reference'!Q:Q,MATCH('Unit Summary - Rent Roll'!AJ31,'Current Tenant Policy-Reference'!O:O,0)),"NA")</f>
        <v>NA</v>
      </c>
    </row>
    <row r="32" spans="2:42" ht="13.8" x14ac:dyDescent="0.3">
      <c r="B32" s="241">
        <v>6</v>
      </c>
      <c r="C32" s="600" t="s">
        <v>143</v>
      </c>
      <c r="D32" s="601"/>
      <c r="E32" s="190" t="s">
        <v>139</v>
      </c>
      <c r="F32" s="191">
        <v>0</v>
      </c>
      <c r="G32" s="244" t="s">
        <v>85</v>
      </c>
      <c r="H32" s="248">
        <v>0</v>
      </c>
      <c r="I32" s="380">
        <f>F32*H32</f>
        <v>0</v>
      </c>
      <c r="J32" s="255" t="s">
        <v>139</v>
      </c>
      <c r="K32" s="517" t="s">
        <v>139</v>
      </c>
      <c r="L32" s="406" t="s">
        <v>139</v>
      </c>
      <c r="M32" s="411">
        <v>0</v>
      </c>
      <c r="N32" s="287" t="s">
        <v>139</v>
      </c>
      <c r="O32" s="308" t="str">
        <f>IF(OR(M32=0,N32="NA"),"NA",IFERROR(INDEX('Data - Reference'!$B$37:$B$50,MATCH('Unit Summary - Rent Roll'!$M32,INDEX('Data - Reference'!$B$37:$J$50,,MATCH('Unit Summary - Rent Roll'!$N32,'Data - Reference'!$B$37:$J$37,0)),-1),1),"NA"))</f>
        <v>NA</v>
      </c>
      <c r="P32" s="244" t="s">
        <v>85</v>
      </c>
      <c r="Q32" s="244" t="s">
        <v>85</v>
      </c>
      <c r="R32" s="193">
        <v>0</v>
      </c>
      <c r="S32" s="370">
        <f>IFERROR(R32/$F32,0)</f>
        <v>0</v>
      </c>
      <c r="T32" s="101">
        <f>IF(G32="Y",R32*$H32*12,0)</f>
        <v>0</v>
      </c>
      <c r="U32" s="193">
        <v>0</v>
      </c>
      <c r="V32" s="370">
        <f>IFERROR(U32/$F32,0)</f>
        <v>0</v>
      </c>
      <c r="W32" s="101">
        <f>U32*$H32*12</f>
        <v>0</v>
      </c>
      <c r="X32" s="72">
        <f>IFERROR(IF(INDEX(AC$14:AC$18,MATCH($E32,$AB$14:$AB$18,0))&lt;&gt;0,INDEX(AC$14:AC$18,MATCH($E32,$AB$14:$AB$18,0)),
IF($M32="Market",0,IF($L32="HUD FMR",INDEX('Data - Reference'!$B$31:$G$31,MATCH($E32,'Data - Reference'!$B$9:$G$9,0)),INDEX('Data - Reference'!$B$9:$G$31,MATCH($K32,'Data - Reference'!$B$9:$B$31,0),MATCH($E32,'Data - Reference'!$B$9:$G$9,0))))),0)</f>
        <v>0</v>
      </c>
      <c r="Y32" s="72">
        <f>IFERROR(IF(INDEX(AD$14:AD$18,MATCH($E32,$AB$14:$AB$18,0))&lt;&gt;0,INDEX(AD$14:AD$18,MATCH($E32,$AB$14:$AB$18,0)),
IF($K32="None - Market",0,-INDEX('Data - Reference'!$B$32:$G$32,MATCH($E32,'Data - Reference'!$B$9:$G$9,0)))),0)</f>
        <v>0</v>
      </c>
      <c r="Z32" s="76">
        <f>SUM(X32:Y32)</f>
        <v>0</v>
      </c>
      <c r="AA32" s="67">
        <f>IFERROR(Z32/$F32,0)</f>
        <v>0</v>
      </c>
      <c r="AB32" s="101">
        <f>Z32*$H32*12</f>
        <v>0</v>
      </c>
      <c r="AC32" s="84">
        <f t="shared" si="11"/>
        <v>0</v>
      </c>
      <c r="AD32" s="86">
        <f>IFERROR(AC32/$F32,0)</f>
        <v>0</v>
      </c>
      <c r="AE32" s="101">
        <f>AC32*$H32*12</f>
        <v>0</v>
      </c>
      <c r="AF32" s="424" t="str">
        <f t="shared" si="0"/>
        <v>NA</v>
      </c>
      <c r="AG32" s="429" t="str">
        <f>IFERROR(IF(AND(OR(AJ32="1a",AJ32="2a"),OR(AH32="Y",AI32="Y")),"Y",
IF(AND(OR(AJ32="1b",AJ32="2b"),AF32="Y"),"Y",
IF(AJ32="4","Y",
IF(AJ32="NA","NA",
"N")))),"NA")</f>
        <v>NA</v>
      </c>
      <c r="AH32" s="429" t="str">
        <f t="shared" si="1"/>
        <v>NA</v>
      </c>
      <c r="AI32" s="426" t="str">
        <f>IFERROR(IF(AE32=0,"NA",
IF(G32="Y",IF(OR(J32="PBV - Income-Restricted",AC32/R32-1&lt;=0.05),"Y","N"),"NA")),"NA")</f>
        <v>NA</v>
      </c>
      <c r="AJ32" s="426" t="str">
        <f t="shared" si="15"/>
        <v>NA</v>
      </c>
      <c r="AK32" s="535" t="str">
        <f>IFERROR(INDEX('Current Tenant Policy-Reference'!Q:Q,MATCH('Unit Summary - Rent Roll'!AJ32,'Current Tenant Policy-Reference'!O:O,0)),"NA")</f>
        <v>NA</v>
      </c>
    </row>
    <row r="33" spans="2:37" ht="13.8" x14ac:dyDescent="0.3">
      <c r="B33" s="241">
        <v>7</v>
      </c>
      <c r="C33" s="600" t="s">
        <v>143</v>
      </c>
      <c r="D33" s="601"/>
      <c r="E33" s="190" t="s">
        <v>139</v>
      </c>
      <c r="F33" s="191">
        <v>0</v>
      </c>
      <c r="G33" s="244" t="s">
        <v>85</v>
      </c>
      <c r="H33" s="248">
        <v>0</v>
      </c>
      <c r="I33" s="380">
        <f>F33*H33</f>
        <v>0</v>
      </c>
      <c r="J33" s="255" t="s">
        <v>139</v>
      </c>
      <c r="K33" s="517" t="s">
        <v>139</v>
      </c>
      <c r="L33" s="406" t="s">
        <v>139</v>
      </c>
      <c r="M33" s="411">
        <v>0</v>
      </c>
      <c r="N33" s="287" t="s">
        <v>139</v>
      </c>
      <c r="O33" s="308" t="str">
        <f>IF(OR(M33=0,N33="NA"),"NA",IFERROR(INDEX('Data - Reference'!$B$37:$B$50,MATCH('Unit Summary - Rent Roll'!$M33,INDEX('Data - Reference'!$B$37:$J$50,,MATCH('Unit Summary - Rent Roll'!$N33,'Data - Reference'!$B$37:$J$37,0)),-1),1),"NA"))</f>
        <v>NA</v>
      </c>
      <c r="P33" s="244" t="s">
        <v>85</v>
      </c>
      <c r="Q33" s="244" t="s">
        <v>85</v>
      </c>
      <c r="R33" s="193">
        <v>0</v>
      </c>
      <c r="S33" s="370">
        <f>IFERROR(R33/$F33,0)</f>
        <v>0</v>
      </c>
      <c r="T33" s="101">
        <f>IF(G33="Y",R33*$H33*12,0)</f>
        <v>0</v>
      </c>
      <c r="U33" s="193">
        <v>0</v>
      </c>
      <c r="V33" s="370">
        <f>IFERROR(U33/$F33,0)</f>
        <v>0</v>
      </c>
      <c r="W33" s="101">
        <f>U33*$H33*12</f>
        <v>0</v>
      </c>
      <c r="X33" s="72">
        <f>IFERROR(IF(INDEX(AC$14:AC$18,MATCH($E33,$AB$14:$AB$18,0))&lt;&gt;0,INDEX(AC$14:AC$18,MATCH($E33,$AB$14:$AB$18,0)),
IF($M33="Market",0,IF($L33="HUD FMR",INDEX('Data - Reference'!$B$31:$G$31,MATCH($E33,'Data - Reference'!$B$9:$G$9,0)),INDEX('Data - Reference'!$B$9:$G$31,MATCH($K33,'Data - Reference'!$B$9:$B$31,0),MATCH($E33,'Data - Reference'!$B$9:$G$9,0))))),0)</f>
        <v>0</v>
      </c>
      <c r="Y33" s="72">
        <f>IFERROR(IF(INDEX(AD$14:AD$18,MATCH($E33,$AB$14:$AB$18,0))&lt;&gt;0,INDEX(AD$14:AD$18,MATCH($E33,$AB$14:$AB$18,0)),
IF($K33="None - Market",0,-INDEX('Data - Reference'!$B$32:$G$32,MATCH($E33,'Data - Reference'!$B$9:$G$9,0)))),0)</f>
        <v>0</v>
      </c>
      <c r="Z33" s="76">
        <f>SUM(X33:Y33)</f>
        <v>0</v>
      </c>
      <c r="AA33" s="67">
        <f>IFERROR(Z33/$F33,0)</f>
        <v>0</v>
      </c>
      <c r="AB33" s="101">
        <f>Z33*$H33*12</f>
        <v>0</v>
      </c>
      <c r="AC33" s="84">
        <f t="shared" si="11"/>
        <v>0</v>
      </c>
      <c r="AD33" s="86">
        <f>IFERROR(AC33/$F33,0)</f>
        <v>0</v>
      </c>
      <c r="AE33" s="101">
        <f>AC33*$H33*12</f>
        <v>0</v>
      </c>
      <c r="AF33" s="424" t="str">
        <f t="shared" si="0"/>
        <v>NA</v>
      </c>
      <c r="AG33" s="429" t="str">
        <f>IFERROR(IF(AND(OR(AJ33="1a",AJ33="2a"),OR(AH33="Y",AI33="Y")),"Y",
IF(AND(OR(AJ33="1b",AJ33="2b"),AF33="Y"),"Y",
IF(AJ33="4","Y",
IF(AJ33="NA","NA",
"N")))),"NA")</f>
        <v>NA</v>
      </c>
      <c r="AH33" s="429" t="str">
        <f t="shared" si="1"/>
        <v>NA</v>
      </c>
      <c r="AI33" s="426" t="str">
        <f>IFERROR(IF(AE33=0,"NA",
IF(G33="Y",IF(OR(J33="PBV - Income-Restricted",AC33/R33-1&lt;=0.05),"Y","N"),"NA")),"NA")</f>
        <v>NA</v>
      </c>
      <c r="AJ33" s="426" t="str">
        <f t="shared" si="15"/>
        <v>NA</v>
      </c>
      <c r="AK33" s="535" t="str">
        <f>IFERROR(INDEX('Current Tenant Policy-Reference'!Q:Q,MATCH('Unit Summary - Rent Roll'!AJ33,'Current Tenant Policy-Reference'!O:O,0)),"NA")</f>
        <v>NA</v>
      </c>
    </row>
    <row r="34" spans="2:37" ht="13.8" x14ac:dyDescent="0.3">
      <c r="B34" s="241">
        <v>8</v>
      </c>
      <c r="C34" s="600" t="s">
        <v>143</v>
      </c>
      <c r="D34" s="601"/>
      <c r="E34" s="190" t="s">
        <v>139</v>
      </c>
      <c r="F34" s="191">
        <v>0</v>
      </c>
      <c r="G34" s="244" t="s">
        <v>85</v>
      </c>
      <c r="H34" s="248">
        <v>0</v>
      </c>
      <c r="I34" s="380">
        <f t="shared" si="2"/>
        <v>0</v>
      </c>
      <c r="J34" s="255" t="s">
        <v>139</v>
      </c>
      <c r="K34" s="517" t="s">
        <v>139</v>
      </c>
      <c r="L34" s="406" t="s">
        <v>139</v>
      </c>
      <c r="M34" s="411">
        <v>0</v>
      </c>
      <c r="N34" s="287" t="s">
        <v>139</v>
      </c>
      <c r="O34" s="308" t="str">
        <f>IF(OR(M34=0,N34="NA"),"NA",IFERROR(INDEX('Data - Reference'!$B$37:$B$50,MATCH('Unit Summary - Rent Roll'!$M34,INDEX('Data - Reference'!$B$37:$J$50,,MATCH('Unit Summary - Rent Roll'!$N34,'Data - Reference'!$B$37:$J$37,0)),-1),1),"NA"))</f>
        <v>NA</v>
      </c>
      <c r="P34" s="244" t="s">
        <v>85</v>
      </c>
      <c r="Q34" s="244" t="s">
        <v>85</v>
      </c>
      <c r="R34" s="193">
        <v>0</v>
      </c>
      <c r="S34" s="370">
        <f t="shared" si="3"/>
        <v>0</v>
      </c>
      <c r="T34" s="101">
        <f t="shared" si="4"/>
        <v>0</v>
      </c>
      <c r="U34" s="193">
        <v>0</v>
      </c>
      <c r="V34" s="370">
        <f t="shared" si="5"/>
        <v>0</v>
      </c>
      <c r="W34" s="101">
        <f t="shared" si="8"/>
        <v>0</v>
      </c>
      <c r="X34" s="72">
        <f>IFERROR(IF(INDEX(AC$14:AC$18,MATCH($E34,$AB$14:$AB$18,0))&lt;&gt;0,INDEX(AC$14:AC$18,MATCH($E34,$AB$14:$AB$18,0)),
IF($M34="Market",0,IF($L34="HUD FMR",INDEX('Data - Reference'!$B$31:$G$31,MATCH($E34,'Data - Reference'!$B$9:$G$9,0)),INDEX('Data - Reference'!$B$9:$G$31,MATCH($K34,'Data - Reference'!$B$9:$B$31,0),MATCH($E34,'Data - Reference'!$B$9:$G$9,0))))),0)</f>
        <v>0</v>
      </c>
      <c r="Y34" s="72">
        <f>IFERROR(IF(INDEX(AD$14:AD$18,MATCH($E34,$AB$14:$AB$18,0))&lt;&gt;0,INDEX(AD$14:AD$18,MATCH($E34,$AB$14:$AB$18,0)),
IF($K34="None - Market",0,-INDEX('Data - Reference'!$B$32:$G$32,MATCH($E34,'Data - Reference'!$B$9:$G$9,0)))),0)</f>
        <v>0</v>
      </c>
      <c r="Z34" s="76">
        <f t="shared" si="9"/>
        <v>0</v>
      </c>
      <c r="AA34" s="67">
        <f t="shared" si="6"/>
        <v>0</v>
      </c>
      <c r="AB34" s="101">
        <f t="shared" si="10"/>
        <v>0</v>
      </c>
      <c r="AC34" s="84">
        <f t="shared" si="11"/>
        <v>0</v>
      </c>
      <c r="AD34" s="86">
        <f t="shared" si="7"/>
        <v>0</v>
      </c>
      <c r="AE34" s="101">
        <f t="shared" si="12"/>
        <v>0</v>
      </c>
      <c r="AF34" s="424" t="str">
        <f t="shared" si="0"/>
        <v>NA</v>
      </c>
      <c r="AG34" s="429" t="str">
        <f t="shared" si="13"/>
        <v>NA</v>
      </c>
      <c r="AH34" s="429" t="str">
        <f t="shared" si="1"/>
        <v>NA</v>
      </c>
      <c r="AI34" s="426" t="str">
        <f t="shared" si="14"/>
        <v>NA</v>
      </c>
      <c r="AJ34" s="426" t="str">
        <f t="shared" si="15"/>
        <v>NA</v>
      </c>
      <c r="AK34" s="535" t="str">
        <f>IFERROR(INDEX('Current Tenant Policy-Reference'!Q:Q,MATCH('Unit Summary - Rent Roll'!AJ34,'Current Tenant Policy-Reference'!O:O,0)),"NA")</f>
        <v>NA</v>
      </c>
    </row>
    <row r="35" spans="2:37" ht="13.8" x14ac:dyDescent="0.3">
      <c r="B35" s="241">
        <v>9</v>
      </c>
      <c r="C35" s="600" t="s">
        <v>143</v>
      </c>
      <c r="D35" s="601"/>
      <c r="E35" s="190" t="s">
        <v>139</v>
      </c>
      <c r="F35" s="191">
        <v>0</v>
      </c>
      <c r="G35" s="244" t="s">
        <v>85</v>
      </c>
      <c r="H35" s="248">
        <v>0</v>
      </c>
      <c r="I35" s="380">
        <f t="shared" si="2"/>
        <v>0</v>
      </c>
      <c r="J35" s="255" t="s">
        <v>139</v>
      </c>
      <c r="K35" s="517" t="s">
        <v>139</v>
      </c>
      <c r="L35" s="406" t="s">
        <v>139</v>
      </c>
      <c r="M35" s="411">
        <v>0</v>
      </c>
      <c r="N35" s="287" t="s">
        <v>139</v>
      </c>
      <c r="O35" s="308" t="str">
        <f>IF(OR(M35=0,N35="NA"),"NA",IFERROR(INDEX('Data - Reference'!$B$37:$B$50,MATCH('Unit Summary - Rent Roll'!$M35,INDEX('Data - Reference'!$B$37:$J$50,,MATCH('Unit Summary - Rent Roll'!$N35,'Data - Reference'!$B$37:$J$37,0)),-1),1),"NA"))</f>
        <v>NA</v>
      </c>
      <c r="P35" s="244" t="s">
        <v>85</v>
      </c>
      <c r="Q35" s="244" t="s">
        <v>85</v>
      </c>
      <c r="R35" s="193">
        <v>0</v>
      </c>
      <c r="S35" s="370">
        <f t="shared" si="3"/>
        <v>0</v>
      </c>
      <c r="T35" s="101">
        <f t="shared" si="4"/>
        <v>0</v>
      </c>
      <c r="U35" s="193">
        <v>0</v>
      </c>
      <c r="V35" s="370">
        <f t="shared" si="5"/>
        <v>0</v>
      </c>
      <c r="W35" s="101">
        <f t="shared" si="8"/>
        <v>0</v>
      </c>
      <c r="X35" s="72">
        <f>IFERROR(IF(INDEX(AC$14:AC$18,MATCH($E35,$AB$14:$AB$18,0))&lt;&gt;0,INDEX(AC$14:AC$18,MATCH($E35,$AB$14:$AB$18,0)),
IF($M35="Market",0,IF($L35="HUD FMR",INDEX('Data - Reference'!$B$31:$G$31,MATCH($E35,'Data - Reference'!$B$9:$G$9,0)),INDEX('Data - Reference'!$B$9:$G$31,MATCH($K35,'Data - Reference'!$B$9:$B$31,0),MATCH($E35,'Data - Reference'!$B$9:$G$9,0))))),0)</f>
        <v>0</v>
      </c>
      <c r="Y35" s="72">
        <f>IFERROR(IF(INDEX(AD$14:AD$18,MATCH($E35,$AB$14:$AB$18,0))&lt;&gt;0,INDEX(AD$14:AD$18,MATCH($E35,$AB$14:$AB$18,0)),
IF($K35="None - Market",0,-INDEX('Data - Reference'!$B$32:$G$32,MATCH($E35,'Data - Reference'!$B$9:$G$9,0)))),0)</f>
        <v>0</v>
      </c>
      <c r="Z35" s="76">
        <f t="shared" si="9"/>
        <v>0</v>
      </c>
      <c r="AA35" s="67">
        <f t="shared" si="6"/>
        <v>0</v>
      </c>
      <c r="AB35" s="101">
        <f t="shared" si="10"/>
        <v>0</v>
      </c>
      <c r="AC35" s="84">
        <f t="shared" si="11"/>
        <v>0</v>
      </c>
      <c r="AD35" s="86">
        <f t="shared" si="7"/>
        <v>0</v>
      </c>
      <c r="AE35" s="101">
        <f t="shared" si="12"/>
        <v>0</v>
      </c>
      <c r="AF35" s="424" t="str">
        <f t="shared" si="0"/>
        <v>NA</v>
      </c>
      <c r="AG35" s="429" t="str">
        <f t="shared" si="13"/>
        <v>NA</v>
      </c>
      <c r="AH35" s="429" t="str">
        <f t="shared" si="1"/>
        <v>NA</v>
      </c>
      <c r="AI35" s="426" t="str">
        <f t="shared" si="14"/>
        <v>NA</v>
      </c>
      <c r="AJ35" s="426" t="str">
        <f t="shared" si="15"/>
        <v>NA</v>
      </c>
      <c r="AK35" s="535" t="str">
        <f>IFERROR(INDEX('Current Tenant Policy-Reference'!Q:Q,MATCH('Unit Summary - Rent Roll'!AJ35,'Current Tenant Policy-Reference'!O:O,0)),"NA")</f>
        <v>NA</v>
      </c>
    </row>
    <row r="36" spans="2:37" ht="13.8" x14ac:dyDescent="0.3">
      <c r="B36" s="241">
        <v>10</v>
      </c>
      <c r="C36" s="600" t="s">
        <v>143</v>
      </c>
      <c r="D36" s="601"/>
      <c r="E36" s="190" t="s">
        <v>139</v>
      </c>
      <c r="F36" s="191">
        <v>0</v>
      </c>
      <c r="G36" s="244" t="s">
        <v>85</v>
      </c>
      <c r="H36" s="248">
        <v>0</v>
      </c>
      <c r="I36" s="380">
        <f t="shared" si="2"/>
        <v>0</v>
      </c>
      <c r="J36" s="255" t="s">
        <v>139</v>
      </c>
      <c r="K36" s="517" t="s">
        <v>139</v>
      </c>
      <c r="L36" s="406" t="s">
        <v>139</v>
      </c>
      <c r="M36" s="411">
        <v>0</v>
      </c>
      <c r="N36" s="287" t="s">
        <v>139</v>
      </c>
      <c r="O36" s="308" t="str">
        <f>IF(OR(M36=0,N36="NA"),"NA",IFERROR(INDEX('Data - Reference'!$B$37:$B$50,MATCH('Unit Summary - Rent Roll'!$M36,INDEX('Data - Reference'!$B$37:$J$50,,MATCH('Unit Summary - Rent Roll'!$N36,'Data - Reference'!$B$37:$J$37,0)),-1),1),"NA"))</f>
        <v>NA</v>
      </c>
      <c r="P36" s="244" t="s">
        <v>85</v>
      </c>
      <c r="Q36" s="244" t="s">
        <v>85</v>
      </c>
      <c r="R36" s="193">
        <v>0</v>
      </c>
      <c r="S36" s="370">
        <f t="shared" si="3"/>
        <v>0</v>
      </c>
      <c r="T36" s="101">
        <f t="shared" si="4"/>
        <v>0</v>
      </c>
      <c r="U36" s="193">
        <v>0</v>
      </c>
      <c r="V36" s="370">
        <f t="shared" si="5"/>
        <v>0</v>
      </c>
      <c r="W36" s="101">
        <f t="shared" si="8"/>
        <v>0</v>
      </c>
      <c r="X36" s="72">
        <f>IFERROR(IF(INDEX(AC$14:AC$18,MATCH($E36,$AB$14:$AB$18,0))&lt;&gt;0,INDEX(AC$14:AC$18,MATCH($E36,$AB$14:$AB$18,0)),
IF($M36="Market",0,IF($L36="HUD FMR",INDEX('Data - Reference'!$B$31:$G$31,MATCH($E36,'Data - Reference'!$B$9:$G$9,0)),INDEX('Data - Reference'!$B$9:$G$31,MATCH($K36,'Data - Reference'!$B$9:$B$31,0),MATCH($E36,'Data - Reference'!$B$9:$G$9,0))))),0)</f>
        <v>0</v>
      </c>
      <c r="Y36" s="72">
        <f>IFERROR(IF(INDEX(AD$14:AD$18,MATCH($E36,$AB$14:$AB$18,0))&lt;&gt;0,INDEX(AD$14:AD$18,MATCH($E36,$AB$14:$AB$18,0)),
IF($K36="None - Market",0,-INDEX('Data - Reference'!$B$32:$G$32,MATCH($E36,'Data - Reference'!$B$9:$G$9,0)))),0)</f>
        <v>0</v>
      </c>
      <c r="Z36" s="76">
        <f t="shared" si="9"/>
        <v>0</v>
      </c>
      <c r="AA36" s="67">
        <f t="shared" si="6"/>
        <v>0</v>
      </c>
      <c r="AB36" s="101">
        <f t="shared" si="10"/>
        <v>0</v>
      </c>
      <c r="AC36" s="84">
        <f t="shared" si="11"/>
        <v>0</v>
      </c>
      <c r="AD36" s="86">
        <f t="shared" si="7"/>
        <v>0</v>
      </c>
      <c r="AE36" s="101">
        <f t="shared" si="12"/>
        <v>0</v>
      </c>
      <c r="AF36" s="424" t="str">
        <f t="shared" si="0"/>
        <v>NA</v>
      </c>
      <c r="AG36" s="429" t="str">
        <f t="shared" si="13"/>
        <v>NA</v>
      </c>
      <c r="AH36" s="429" t="str">
        <f t="shared" si="1"/>
        <v>NA</v>
      </c>
      <c r="AI36" s="426" t="str">
        <f t="shared" si="14"/>
        <v>NA</v>
      </c>
      <c r="AJ36" s="426" t="str">
        <f t="shared" si="15"/>
        <v>NA</v>
      </c>
      <c r="AK36" s="535" t="str">
        <f>IFERROR(INDEX('Current Tenant Policy-Reference'!Q:Q,MATCH('Unit Summary - Rent Roll'!AJ36,'Current Tenant Policy-Reference'!O:O,0)),"NA")</f>
        <v>NA</v>
      </c>
    </row>
    <row r="37" spans="2:37" ht="13.8" x14ac:dyDescent="0.3">
      <c r="B37" s="241">
        <v>11</v>
      </c>
      <c r="C37" s="600" t="s">
        <v>143</v>
      </c>
      <c r="D37" s="601"/>
      <c r="E37" s="190" t="s">
        <v>139</v>
      </c>
      <c r="F37" s="191">
        <v>0</v>
      </c>
      <c r="G37" s="244" t="s">
        <v>85</v>
      </c>
      <c r="H37" s="248">
        <v>0</v>
      </c>
      <c r="I37" s="380">
        <f t="shared" si="2"/>
        <v>0</v>
      </c>
      <c r="J37" s="255" t="s">
        <v>139</v>
      </c>
      <c r="K37" s="517" t="s">
        <v>139</v>
      </c>
      <c r="L37" s="406" t="s">
        <v>139</v>
      </c>
      <c r="M37" s="411">
        <v>0</v>
      </c>
      <c r="N37" s="287" t="s">
        <v>139</v>
      </c>
      <c r="O37" s="308" t="str">
        <f>IF(OR(M37=0,N37="NA"),"NA",IFERROR(INDEX('Data - Reference'!$B$37:$B$50,MATCH('Unit Summary - Rent Roll'!$M37,INDEX('Data - Reference'!$B$37:$J$50,,MATCH('Unit Summary - Rent Roll'!$N37,'Data - Reference'!$B$37:$J$37,0)),-1),1),"NA"))</f>
        <v>NA</v>
      </c>
      <c r="P37" s="244" t="s">
        <v>85</v>
      </c>
      <c r="Q37" s="244" t="s">
        <v>85</v>
      </c>
      <c r="R37" s="193">
        <v>0</v>
      </c>
      <c r="S37" s="370">
        <f t="shared" si="3"/>
        <v>0</v>
      </c>
      <c r="T37" s="101">
        <f t="shared" si="4"/>
        <v>0</v>
      </c>
      <c r="U37" s="193">
        <v>0</v>
      </c>
      <c r="V37" s="370">
        <f t="shared" si="5"/>
        <v>0</v>
      </c>
      <c r="W37" s="101">
        <f t="shared" si="8"/>
        <v>0</v>
      </c>
      <c r="X37" s="72">
        <f>IFERROR(IF(INDEX(AC$14:AC$18,MATCH($E37,$AB$14:$AB$18,0))&lt;&gt;0,INDEX(AC$14:AC$18,MATCH($E37,$AB$14:$AB$18,0)),
IF($M37="Market",0,IF($L37="HUD FMR",INDEX('Data - Reference'!$B$31:$G$31,MATCH($E37,'Data - Reference'!$B$9:$G$9,0)),INDEX('Data - Reference'!$B$9:$G$31,MATCH($K37,'Data - Reference'!$B$9:$B$31,0),MATCH($E37,'Data - Reference'!$B$9:$G$9,0))))),0)</f>
        <v>0</v>
      </c>
      <c r="Y37" s="72">
        <f>IFERROR(IF(INDEX(AD$14:AD$18,MATCH($E37,$AB$14:$AB$18,0))&lt;&gt;0,INDEX(AD$14:AD$18,MATCH($E37,$AB$14:$AB$18,0)),
IF($K37="None - Market",0,-INDEX('Data - Reference'!$B$32:$G$32,MATCH($E37,'Data - Reference'!$B$9:$G$9,0)))),0)</f>
        <v>0</v>
      </c>
      <c r="Z37" s="76">
        <f t="shared" si="9"/>
        <v>0</v>
      </c>
      <c r="AA37" s="67">
        <f t="shared" si="6"/>
        <v>0</v>
      </c>
      <c r="AB37" s="101">
        <f t="shared" si="10"/>
        <v>0</v>
      </c>
      <c r="AC37" s="84">
        <f t="shared" si="11"/>
        <v>0</v>
      </c>
      <c r="AD37" s="86">
        <f t="shared" si="7"/>
        <v>0</v>
      </c>
      <c r="AE37" s="101">
        <f t="shared" si="12"/>
        <v>0</v>
      </c>
      <c r="AF37" s="424" t="str">
        <f t="shared" si="0"/>
        <v>NA</v>
      </c>
      <c r="AG37" s="429" t="str">
        <f t="shared" si="13"/>
        <v>NA</v>
      </c>
      <c r="AH37" s="429" t="str">
        <f t="shared" si="1"/>
        <v>NA</v>
      </c>
      <c r="AI37" s="426" t="str">
        <f t="shared" si="14"/>
        <v>NA</v>
      </c>
      <c r="AJ37" s="426" t="str">
        <f t="shared" si="15"/>
        <v>NA</v>
      </c>
      <c r="AK37" s="535" t="str">
        <f>IFERROR(INDEX('Current Tenant Policy-Reference'!Q:Q,MATCH('Unit Summary - Rent Roll'!AJ37,'Current Tenant Policy-Reference'!O:O,0)),"NA")</f>
        <v>NA</v>
      </c>
    </row>
    <row r="38" spans="2:37" ht="13.8" x14ac:dyDescent="0.3">
      <c r="B38" s="241">
        <v>12</v>
      </c>
      <c r="C38" s="600" t="s">
        <v>143</v>
      </c>
      <c r="D38" s="601"/>
      <c r="E38" s="190" t="s">
        <v>139</v>
      </c>
      <c r="F38" s="191">
        <v>0</v>
      </c>
      <c r="G38" s="244" t="s">
        <v>85</v>
      </c>
      <c r="H38" s="248">
        <v>0</v>
      </c>
      <c r="I38" s="380">
        <f t="shared" si="2"/>
        <v>0</v>
      </c>
      <c r="J38" s="255" t="s">
        <v>139</v>
      </c>
      <c r="K38" s="517" t="s">
        <v>139</v>
      </c>
      <c r="L38" s="406" t="s">
        <v>139</v>
      </c>
      <c r="M38" s="411">
        <v>0</v>
      </c>
      <c r="N38" s="287" t="s">
        <v>139</v>
      </c>
      <c r="O38" s="308" t="str">
        <f>IF(OR(M38=0,N38="NA"),"NA",IFERROR(INDEX('Data - Reference'!$B$37:$B$50,MATCH('Unit Summary - Rent Roll'!$M38,INDEX('Data - Reference'!$B$37:$J$50,,MATCH('Unit Summary - Rent Roll'!$N38,'Data - Reference'!$B$37:$J$37,0)),-1),1),"NA"))</f>
        <v>NA</v>
      </c>
      <c r="P38" s="244" t="s">
        <v>85</v>
      </c>
      <c r="Q38" s="244" t="s">
        <v>85</v>
      </c>
      <c r="R38" s="193">
        <v>0</v>
      </c>
      <c r="S38" s="370">
        <f t="shared" si="3"/>
        <v>0</v>
      </c>
      <c r="T38" s="101">
        <f t="shared" si="4"/>
        <v>0</v>
      </c>
      <c r="U38" s="193">
        <v>0</v>
      </c>
      <c r="V38" s="370">
        <f t="shared" si="5"/>
        <v>0</v>
      </c>
      <c r="W38" s="101">
        <f t="shared" si="8"/>
        <v>0</v>
      </c>
      <c r="X38" s="72">
        <f>IFERROR(IF(INDEX(AC$14:AC$18,MATCH($E38,$AB$14:$AB$18,0))&lt;&gt;0,INDEX(AC$14:AC$18,MATCH($E38,$AB$14:$AB$18,0)),
IF($M38="Market",0,IF($L38="HUD FMR",INDEX('Data - Reference'!$B$31:$G$31,MATCH($E38,'Data - Reference'!$B$9:$G$9,0)),INDEX('Data - Reference'!$B$9:$G$31,MATCH($K38,'Data - Reference'!$B$9:$B$31,0),MATCH($E38,'Data - Reference'!$B$9:$G$9,0))))),0)</f>
        <v>0</v>
      </c>
      <c r="Y38" s="72">
        <f>IFERROR(IF(INDEX(AD$14:AD$18,MATCH($E38,$AB$14:$AB$18,0))&lt;&gt;0,INDEX(AD$14:AD$18,MATCH($E38,$AB$14:$AB$18,0)),
IF($K38="None - Market",0,-INDEX('Data - Reference'!$B$32:$G$32,MATCH($E38,'Data - Reference'!$B$9:$G$9,0)))),0)</f>
        <v>0</v>
      </c>
      <c r="Z38" s="76">
        <f t="shared" si="9"/>
        <v>0</v>
      </c>
      <c r="AA38" s="67">
        <f t="shared" si="6"/>
        <v>0</v>
      </c>
      <c r="AB38" s="101">
        <f t="shared" si="10"/>
        <v>0</v>
      </c>
      <c r="AC38" s="84">
        <f t="shared" si="11"/>
        <v>0</v>
      </c>
      <c r="AD38" s="86">
        <f t="shared" si="7"/>
        <v>0</v>
      </c>
      <c r="AE38" s="101">
        <f t="shared" si="12"/>
        <v>0</v>
      </c>
      <c r="AF38" s="424" t="str">
        <f t="shared" si="0"/>
        <v>NA</v>
      </c>
      <c r="AG38" s="429" t="str">
        <f t="shared" si="13"/>
        <v>NA</v>
      </c>
      <c r="AH38" s="429" t="str">
        <f t="shared" si="1"/>
        <v>NA</v>
      </c>
      <c r="AI38" s="426" t="str">
        <f t="shared" si="14"/>
        <v>NA</v>
      </c>
      <c r="AJ38" s="426" t="str">
        <f t="shared" si="15"/>
        <v>NA</v>
      </c>
      <c r="AK38" s="535" t="str">
        <f>IFERROR(INDEX('Current Tenant Policy-Reference'!Q:Q,MATCH('Unit Summary - Rent Roll'!AJ38,'Current Tenant Policy-Reference'!O:O,0)),"NA")</f>
        <v>NA</v>
      </c>
    </row>
    <row r="39" spans="2:37" ht="13.8" x14ac:dyDescent="0.3">
      <c r="B39" s="241">
        <v>13</v>
      </c>
      <c r="C39" s="600" t="s">
        <v>143</v>
      </c>
      <c r="D39" s="601"/>
      <c r="E39" s="190" t="s">
        <v>139</v>
      </c>
      <c r="F39" s="191">
        <v>0</v>
      </c>
      <c r="G39" s="244" t="s">
        <v>85</v>
      </c>
      <c r="H39" s="248">
        <v>0</v>
      </c>
      <c r="I39" s="380">
        <f t="shared" si="2"/>
        <v>0</v>
      </c>
      <c r="J39" s="255" t="s">
        <v>139</v>
      </c>
      <c r="K39" s="517" t="s">
        <v>139</v>
      </c>
      <c r="L39" s="406" t="s">
        <v>139</v>
      </c>
      <c r="M39" s="411">
        <v>0</v>
      </c>
      <c r="N39" s="287" t="s">
        <v>139</v>
      </c>
      <c r="O39" s="308" t="str">
        <f>IF(OR(M39=0,N39="NA"),"NA",IFERROR(INDEX('Data - Reference'!$B$37:$B$50,MATCH('Unit Summary - Rent Roll'!$M39,INDEX('Data - Reference'!$B$37:$J$50,,MATCH('Unit Summary - Rent Roll'!$N39,'Data - Reference'!$B$37:$J$37,0)),-1),1),"NA"))</f>
        <v>NA</v>
      </c>
      <c r="P39" s="244" t="s">
        <v>85</v>
      </c>
      <c r="Q39" s="244" t="s">
        <v>85</v>
      </c>
      <c r="R39" s="193">
        <v>0</v>
      </c>
      <c r="S39" s="370">
        <f t="shared" si="3"/>
        <v>0</v>
      </c>
      <c r="T39" s="101">
        <f t="shared" si="4"/>
        <v>0</v>
      </c>
      <c r="U39" s="193">
        <v>0</v>
      </c>
      <c r="V39" s="370">
        <f t="shared" si="5"/>
        <v>0</v>
      </c>
      <c r="W39" s="101">
        <f t="shared" si="8"/>
        <v>0</v>
      </c>
      <c r="X39" s="72">
        <f>IFERROR(IF(INDEX(AC$14:AC$18,MATCH($E39,$AB$14:$AB$18,0))&lt;&gt;0,INDEX(AC$14:AC$18,MATCH($E39,$AB$14:$AB$18,0)),
IF($M39="Market",0,IF($L39="HUD FMR",INDEX('Data - Reference'!$B$31:$G$31,MATCH($E39,'Data - Reference'!$B$9:$G$9,0)),INDEX('Data - Reference'!$B$9:$G$31,MATCH($K39,'Data - Reference'!$B$9:$B$31,0),MATCH($E39,'Data - Reference'!$B$9:$G$9,0))))),0)</f>
        <v>0</v>
      </c>
      <c r="Y39" s="72">
        <f>IFERROR(IF(INDEX(AD$14:AD$18,MATCH($E39,$AB$14:$AB$18,0))&lt;&gt;0,INDEX(AD$14:AD$18,MATCH($E39,$AB$14:$AB$18,0)),
IF($K39="None - Market",0,-INDEX('Data - Reference'!$B$32:$G$32,MATCH($E39,'Data - Reference'!$B$9:$G$9,0)))),0)</f>
        <v>0</v>
      </c>
      <c r="Z39" s="76">
        <f t="shared" si="9"/>
        <v>0</v>
      </c>
      <c r="AA39" s="67">
        <f t="shared" si="6"/>
        <v>0</v>
      </c>
      <c r="AB39" s="101">
        <f t="shared" si="10"/>
        <v>0</v>
      </c>
      <c r="AC39" s="84">
        <f t="shared" si="11"/>
        <v>0</v>
      </c>
      <c r="AD39" s="86">
        <f t="shared" si="7"/>
        <v>0</v>
      </c>
      <c r="AE39" s="101">
        <f t="shared" si="12"/>
        <v>0</v>
      </c>
      <c r="AF39" s="424" t="str">
        <f t="shared" si="0"/>
        <v>NA</v>
      </c>
      <c r="AG39" s="429" t="str">
        <f t="shared" si="13"/>
        <v>NA</v>
      </c>
      <c r="AH39" s="429" t="str">
        <f t="shared" si="1"/>
        <v>NA</v>
      </c>
      <c r="AI39" s="426" t="str">
        <f t="shared" si="14"/>
        <v>NA</v>
      </c>
      <c r="AJ39" s="426" t="str">
        <f t="shared" si="15"/>
        <v>NA</v>
      </c>
      <c r="AK39" s="535" t="str">
        <f>IFERROR(INDEX('Current Tenant Policy-Reference'!Q:Q,MATCH('Unit Summary - Rent Roll'!AJ39,'Current Tenant Policy-Reference'!O:O,0)),"NA")</f>
        <v>NA</v>
      </c>
    </row>
    <row r="40" spans="2:37" ht="13.8" x14ac:dyDescent="0.3">
      <c r="B40" s="241">
        <v>14</v>
      </c>
      <c r="C40" s="600" t="s">
        <v>143</v>
      </c>
      <c r="D40" s="601"/>
      <c r="E40" s="190" t="s">
        <v>139</v>
      </c>
      <c r="F40" s="191">
        <v>0</v>
      </c>
      <c r="G40" s="244" t="s">
        <v>85</v>
      </c>
      <c r="H40" s="248">
        <v>0</v>
      </c>
      <c r="I40" s="380">
        <f t="shared" si="2"/>
        <v>0</v>
      </c>
      <c r="J40" s="255" t="s">
        <v>139</v>
      </c>
      <c r="K40" s="517" t="s">
        <v>139</v>
      </c>
      <c r="L40" s="406" t="s">
        <v>139</v>
      </c>
      <c r="M40" s="411">
        <v>0</v>
      </c>
      <c r="N40" s="287" t="s">
        <v>139</v>
      </c>
      <c r="O40" s="308" t="str">
        <f>IF(OR(M40=0,N40="NA"),"NA",IFERROR(INDEX('Data - Reference'!$B$37:$B$50,MATCH('Unit Summary - Rent Roll'!$M40,INDEX('Data - Reference'!$B$37:$J$50,,MATCH('Unit Summary - Rent Roll'!$N40,'Data - Reference'!$B$37:$J$37,0)),-1),1),"NA"))</f>
        <v>NA</v>
      </c>
      <c r="P40" s="244" t="s">
        <v>85</v>
      </c>
      <c r="Q40" s="244" t="s">
        <v>85</v>
      </c>
      <c r="R40" s="193">
        <v>0</v>
      </c>
      <c r="S40" s="370">
        <f t="shared" si="3"/>
        <v>0</v>
      </c>
      <c r="T40" s="101">
        <f t="shared" si="4"/>
        <v>0</v>
      </c>
      <c r="U40" s="193">
        <v>0</v>
      </c>
      <c r="V40" s="370">
        <f t="shared" si="5"/>
        <v>0</v>
      </c>
      <c r="W40" s="101">
        <f t="shared" si="8"/>
        <v>0</v>
      </c>
      <c r="X40" s="72">
        <f>IFERROR(IF(INDEX(AC$14:AC$18,MATCH($E40,$AB$14:$AB$18,0))&lt;&gt;0,INDEX(AC$14:AC$18,MATCH($E40,$AB$14:$AB$18,0)),
IF($M40="Market",0,IF($L40="HUD FMR",INDEX('Data - Reference'!$B$31:$G$31,MATCH($E40,'Data - Reference'!$B$9:$G$9,0)),INDEX('Data - Reference'!$B$9:$G$31,MATCH($K40,'Data - Reference'!$B$9:$B$31,0),MATCH($E40,'Data - Reference'!$B$9:$G$9,0))))),0)</f>
        <v>0</v>
      </c>
      <c r="Y40" s="72">
        <f>IFERROR(IF(INDEX(AD$14:AD$18,MATCH($E40,$AB$14:$AB$18,0))&lt;&gt;0,INDEX(AD$14:AD$18,MATCH($E40,$AB$14:$AB$18,0)),
IF($K40="None - Market",0,-INDEX('Data - Reference'!$B$32:$G$32,MATCH($E40,'Data - Reference'!$B$9:$G$9,0)))),0)</f>
        <v>0</v>
      </c>
      <c r="Z40" s="76">
        <f t="shared" si="9"/>
        <v>0</v>
      </c>
      <c r="AA40" s="67">
        <f t="shared" si="6"/>
        <v>0</v>
      </c>
      <c r="AB40" s="101">
        <f t="shared" si="10"/>
        <v>0</v>
      </c>
      <c r="AC40" s="84">
        <f t="shared" si="11"/>
        <v>0</v>
      </c>
      <c r="AD40" s="86">
        <f t="shared" si="7"/>
        <v>0</v>
      </c>
      <c r="AE40" s="101">
        <f t="shared" si="12"/>
        <v>0</v>
      </c>
      <c r="AF40" s="424" t="str">
        <f t="shared" si="0"/>
        <v>NA</v>
      </c>
      <c r="AG40" s="429" t="str">
        <f t="shared" si="13"/>
        <v>NA</v>
      </c>
      <c r="AH40" s="429" t="str">
        <f t="shared" si="1"/>
        <v>NA</v>
      </c>
      <c r="AI40" s="426" t="str">
        <f t="shared" si="14"/>
        <v>NA</v>
      </c>
      <c r="AJ40" s="426" t="str">
        <f t="shared" si="15"/>
        <v>NA</v>
      </c>
      <c r="AK40" s="535" t="str">
        <f>IFERROR(INDEX('Current Tenant Policy-Reference'!Q:Q,MATCH('Unit Summary - Rent Roll'!AJ40,'Current Tenant Policy-Reference'!O:O,0)),"NA")</f>
        <v>NA</v>
      </c>
    </row>
    <row r="41" spans="2:37" ht="13.8" x14ac:dyDescent="0.3">
      <c r="B41" s="241">
        <v>15</v>
      </c>
      <c r="C41" s="600" t="s">
        <v>143</v>
      </c>
      <c r="D41" s="601"/>
      <c r="E41" s="190" t="s">
        <v>139</v>
      </c>
      <c r="F41" s="191">
        <v>0</v>
      </c>
      <c r="G41" s="244" t="s">
        <v>85</v>
      </c>
      <c r="H41" s="248">
        <v>0</v>
      </c>
      <c r="I41" s="380">
        <f t="shared" si="2"/>
        <v>0</v>
      </c>
      <c r="J41" s="255" t="s">
        <v>139</v>
      </c>
      <c r="K41" s="517" t="s">
        <v>139</v>
      </c>
      <c r="L41" s="406" t="s">
        <v>139</v>
      </c>
      <c r="M41" s="411">
        <v>0</v>
      </c>
      <c r="N41" s="287" t="s">
        <v>139</v>
      </c>
      <c r="O41" s="308" t="str">
        <f>IF(OR(M41=0,N41="NA"),"NA",IFERROR(INDEX('Data - Reference'!$B$37:$B$50,MATCH('Unit Summary - Rent Roll'!$M41,INDEX('Data - Reference'!$B$37:$J$50,,MATCH('Unit Summary - Rent Roll'!$N41,'Data - Reference'!$B$37:$J$37,0)),-1),1),"NA"))</f>
        <v>NA</v>
      </c>
      <c r="P41" s="244" t="s">
        <v>85</v>
      </c>
      <c r="Q41" s="244" t="s">
        <v>85</v>
      </c>
      <c r="R41" s="193">
        <v>0</v>
      </c>
      <c r="S41" s="370">
        <f t="shared" si="3"/>
        <v>0</v>
      </c>
      <c r="T41" s="101">
        <f t="shared" si="4"/>
        <v>0</v>
      </c>
      <c r="U41" s="193">
        <v>0</v>
      </c>
      <c r="V41" s="370">
        <f t="shared" si="5"/>
        <v>0</v>
      </c>
      <c r="W41" s="101">
        <f t="shared" si="8"/>
        <v>0</v>
      </c>
      <c r="X41" s="72">
        <f>IFERROR(IF(INDEX(AC$14:AC$18,MATCH($E41,$AB$14:$AB$18,0))&lt;&gt;0,INDEX(AC$14:AC$18,MATCH($E41,$AB$14:$AB$18,0)),
IF($M41="Market",0,IF($L41="HUD FMR",INDEX('Data - Reference'!$B$31:$G$31,MATCH($E41,'Data - Reference'!$B$9:$G$9,0)),INDEX('Data - Reference'!$B$9:$G$31,MATCH($K41,'Data - Reference'!$B$9:$B$31,0),MATCH($E41,'Data - Reference'!$B$9:$G$9,0))))),0)</f>
        <v>0</v>
      </c>
      <c r="Y41" s="72">
        <f>IFERROR(IF(INDEX(AD$14:AD$18,MATCH($E41,$AB$14:$AB$18,0))&lt;&gt;0,INDEX(AD$14:AD$18,MATCH($E41,$AB$14:$AB$18,0)),
IF($K41="None - Market",0,-INDEX('Data - Reference'!$B$32:$G$32,MATCH($E41,'Data - Reference'!$B$9:$G$9,0)))),0)</f>
        <v>0</v>
      </c>
      <c r="Z41" s="76">
        <f t="shared" si="9"/>
        <v>0</v>
      </c>
      <c r="AA41" s="67">
        <f t="shared" si="6"/>
        <v>0</v>
      </c>
      <c r="AB41" s="101">
        <f t="shared" si="10"/>
        <v>0</v>
      </c>
      <c r="AC41" s="84">
        <f t="shared" si="11"/>
        <v>0</v>
      </c>
      <c r="AD41" s="86">
        <f t="shared" si="7"/>
        <v>0</v>
      </c>
      <c r="AE41" s="101">
        <f t="shared" si="12"/>
        <v>0</v>
      </c>
      <c r="AF41" s="424" t="str">
        <f t="shared" si="0"/>
        <v>NA</v>
      </c>
      <c r="AG41" s="429" t="str">
        <f t="shared" si="13"/>
        <v>NA</v>
      </c>
      <c r="AH41" s="429" t="str">
        <f t="shared" si="1"/>
        <v>NA</v>
      </c>
      <c r="AI41" s="426" t="str">
        <f t="shared" si="14"/>
        <v>NA</v>
      </c>
      <c r="AJ41" s="426" t="str">
        <f t="shared" si="15"/>
        <v>NA</v>
      </c>
      <c r="AK41" s="535" t="str">
        <f>IFERROR(INDEX('Current Tenant Policy-Reference'!Q:Q,MATCH('Unit Summary - Rent Roll'!AJ41,'Current Tenant Policy-Reference'!O:O,0)),"NA")</f>
        <v>NA</v>
      </c>
    </row>
    <row r="42" spans="2:37" ht="13.8" x14ac:dyDescent="0.3">
      <c r="B42" s="241">
        <v>16</v>
      </c>
      <c r="C42" s="600" t="s">
        <v>143</v>
      </c>
      <c r="D42" s="601"/>
      <c r="E42" s="190" t="s">
        <v>139</v>
      </c>
      <c r="F42" s="191">
        <v>0</v>
      </c>
      <c r="G42" s="244" t="s">
        <v>85</v>
      </c>
      <c r="H42" s="248">
        <v>0</v>
      </c>
      <c r="I42" s="380">
        <f t="shared" si="2"/>
        <v>0</v>
      </c>
      <c r="J42" s="255" t="s">
        <v>139</v>
      </c>
      <c r="K42" s="517" t="s">
        <v>139</v>
      </c>
      <c r="L42" s="406" t="s">
        <v>139</v>
      </c>
      <c r="M42" s="411">
        <v>0</v>
      </c>
      <c r="N42" s="287" t="s">
        <v>139</v>
      </c>
      <c r="O42" s="308" t="str">
        <f>IF(OR(M42=0,N42="NA"),"NA",IFERROR(INDEX('Data - Reference'!$B$37:$B$50,MATCH('Unit Summary - Rent Roll'!$M42,INDEX('Data - Reference'!$B$37:$J$50,,MATCH('Unit Summary - Rent Roll'!$N42,'Data - Reference'!$B$37:$J$37,0)),-1),1),"NA"))</f>
        <v>NA</v>
      </c>
      <c r="P42" s="244" t="s">
        <v>85</v>
      </c>
      <c r="Q42" s="244" t="s">
        <v>85</v>
      </c>
      <c r="R42" s="193">
        <v>0</v>
      </c>
      <c r="S42" s="370">
        <f t="shared" si="3"/>
        <v>0</v>
      </c>
      <c r="T42" s="101">
        <f t="shared" si="4"/>
        <v>0</v>
      </c>
      <c r="U42" s="193">
        <v>0</v>
      </c>
      <c r="V42" s="370">
        <f t="shared" si="5"/>
        <v>0</v>
      </c>
      <c r="W42" s="101">
        <f t="shared" si="8"/>
        <v>0</v>
      </c>
      <c r="X42" s="72">
        <f>IFERROR(IF(INDEX(AC$14:AC$18,MATCH($E42,$AB$14:$AB$18,0))&lt;&gt;0,INDEX(AC$14:AC$18,MATCH($E42,$AB$14:$AB$18,0)),
IF($M42="Market",0,IF($L42="HUD FMR",INDEX('Data - Reference'!$B$31:$G$31,MATCH($E42,'Data - Reference'!$B$9:$G$9,0)),INDEX('Data - Reference'!$B$9:$G$31,MATCH($K42,'Data - Reference'!$B$9:$B$31,0),MATCH($E42,'Data - Reference'!$B$9:$G$9,0))))),0)</f>
        <v>0</v>
      </c>
      <c r="Y42" s="72">
        <f>IFERROR(IF(INDEX(AD$14:AD$18,MATCH($E42,$AB$14:$AB$18,0))&lt;&gt;0,INDEX(AD$14:AD$18,MATCH($E42,$AB$14:$AB$18,0)),
IF($K42="None - Market",0,-INDEX('Data - Reference'!$B$32:$G$32,MATCH($E42,'Data - Reference'!$B$9:$G$9,0)))),0)</f>
        <v>0</v>
      </c>
      <c r="Z42" s="76">
        <f t="shared" si="9"/>
        <v>0</v>
      </c>
      <c r="AA42" s="67">
        <f t="shared" si="6"/>
        <v>0</v>
      </c>
      <c r="AB42" s="101">
        <f t="shared" si="10"/>
        <v>0</v>
      </c>
      <c r="AC42" s="84">
        <f t="shared" si="11"/>
        <v>0</v>
      </c>
      <c r="AD42" s="86">
        <f t="shared" si="7"/>
        <v>0</v>
      </c>
      <c r="AE42" s="101">
        <f t="shared" si="12"/>
        <v>0</v>
      </c>
      <c r="AF42" s="424" t="str">
        <f t="shared" si="0"/>
        <v>NA</v>
      </c>
      <c r="AG42" s="429" t="str">
        <f t="shared" si="13"/>
        <v>NA</v>
      </c>
      <c r="AH42" s="429" t="str">
        <f t="shared" si="1"/>
        <v>NA</v>
      </c>
      <c r="AI42" s="426" t="str">
        <f t="shared" si="14"/>
        <v>NA</v>
      </c>
      <c r="AJ42" s="426" t="str">
        <f t="shared" si="15"/>
        <v>NA</v>
      </c>
      <c r="AK42" s="535" t="str">
        <f>IFERROR(INDEX('Current Tenant Policy-Reference'!Q:Q,MATCH('Unit Summary - Rent Roll'!AJ42,'Current Tenant Policy-Reference'!O:O,0)),"NA")</f>
        <v>NA</v>
      </c>
    </row>
    <row r="43" spans="2:37" ht="13.8" x14ac:dyDescent="0.3">
      <c r="B43" s="241">
        <v>17</v>
      </c>
      <c r="C43" s="600" t="s">
        <v>143</v>
      </c>
      <c r="D43" s="601"/>
      <c r="E43" s="190" t="s">
        <v>139</v>
      </c>
      <c r="F43" s="191">
        <v>0</v>
      </c>
      <c r="G43" s="244" t="s">
        <v>85</v>
      </c>
      <c r="H43" s="248">
        <v>0</v>
      </c>
      <c r="I43" s="380">
        <f t="shared" si="2"/>
        <v>0</v>
      </c>
      <c r="J43" s="255" t="s">
        <v>139</v>
      </c>
      <c r="K43" s="517" t="s">
        <v>139</v>
      </c>
      <c r="L43" s="406" t="s">
        <v>139</v>
      </c>
      <c r="M43" s="411">
        <v>0</v>
      </c>
      <c r="N43" s="287" t="s">
        <v>139</v>
      </c>
      <c r="O43" s="308" t="str">
        <f>IF(OR(M43=0,N43="NA"),"NA",IFERROR(INDEX('Data - Reference'!$B$37:$B$50,MATCH('Unit Summary - Rent Roll'!$M43,INDEX('Data - Reference'!$B$37:$J$50,,MATCH('Unit Summary - Rent Roll'!$N43,'Data - Reference'!$B$37:$J$37,0)),-1),1),"NA"))</f>
        <v>NA</v>
      </c>
      <c r="P43" s="244" t="s">
        <v>85</v>
      </c>
      <c r="Q43" s="244" t="s">
        <v>85</v>
      </c>
      <c r="R43" s="193">
        <v>0</v>
      </c>
      <c r="S43" s="370">
        <f t="shared" si="3"/>
        <v>0</v>
      </c>
      <c r="T43" s="101">
        <f t="shared" si="4"/>
        <v>0</v>
      </c>
      <c r="U43" s="193">
        <v>0</v>
      </c>
      <c r="V43" s="370">
        <f t="shared" si="5"/>
        <v>0</v>
      </c>
      <c r="W43" s="101">
        <f t="shared" si="8"/>
        <v>0</v>
      </c>
      <c r="X43" s="72">
        <f>IFERROR(IF(INDEX(AC$14:AC$18,MATCH($E43,$AB$14:$AB$18,0))&lt;&gt;0,INDEX(AC$14:AC$18,MATCH($E43,$AB$14:$AB$18,0)),
IF($M43="Market",0,IF($L43="HUD FMR",INDEX('Data - Reference'!$B$31:$G$31,MATCH($E43,'Data - Reference'!$B$9:$G$9,0)),INDEX('Data - Reference'!$B$9:$G$31,MATCH($K43,'Data - Reference'!$B$9:$B$31,0),MATCH($E43,'Data - Reference'!$B$9:$G$9,0))))),0)</f>
        <v>0</v>
      </c>
      <c r="Y43" s="72">
        <f>IFERROR(IF(INDEX(AD$14:AD$18,MATCH($E43,$AB$14:$AB$18,0))&lt;&gt;0,INDEX(AD$14:AD$18,MATCH($E43,$AB$14:$AB$18,0)),
IF($K43="None - Market",0,-INDEX('Data - Reference'!$B$32:$G$32,MATCH($E43,'Data - Reference'!$B$9:$G$9,0)))),0)</f>
        <v>0</v>
      </c>
      <c r="Z43" s="76">
        <f t="shared" si="9"/>
        <v>0</v>
      </c>
      <c r="AA43" s="67">
        <f t="shared" si="6"/>
        <v>0</v>
      </c>
      <c r="AB43" s="101">
        <f t="shared" si="10"/>
        <v>0</v>
      </c>
      <c r="AC43" s="84">
        <f t="shared" si="11"/>
        <v>0</v>
      </c>
      <c r="AD43" s="86">
        <f t="shared" si="7"/>
        <v>0</v>
      </c>
      <c r="AE43" s="101">
        <f t="shared" si="12"/>
        <v>0</v>
      </c>
      <c r="AF43" s="424" t="str">
        <f t="shared" si="0"/>
        <v>NA</v>
      </c>
      <c r="AG43" s="429" t="str">
        <f t="shared" si="13"/>
        <v>NA</v>
      </c>
      <c r="AH43" s="429" t="str">
        <f t="shared" si="1"/>
        <v>NA</v>
      </c>
      <c r="AI43" s="426" t="str">
        <f t="shared" si="14"/>
        <v>NA</v>
      </c>
      <c r="AJ43" s="426" t="str">
        <f t="shared" si="15"/>
        <v>NA</v>
      </c>
      <c r="AK43" s="535" t="str">
        <f>IFERROR(INDEX('Current Tenant Policy-Reference'!Q:Q,MATCH('Unit Summary - Rent Roll'!AJ43,'Current Tenant Policy-Reference'!O:O,0)),"NA")</f>
        <v>NA</v>
      </c>
    </row>
    <row r="44" spans="2:37" ht="13.8" x14ac:dyDescent="0.3">
      <c r="B44" s="241">
        <v>18</v>
      </c>
      <c r="C44" s="600" t="s">
        <v>143</v>
      </c>
      <c r="D44" s="601"/>
      <c r="E44" s="190" t="s">
        <v>139</v>
      </c>
      <c r="F44" s="191">
        <v>0</v>
      </c>
      <c r="G44" s="244" t="s">
        <v>85</v>
      </c>
      <c r="H44" s="248">
        <v>0</v>
      </c>
      <c r="I44" s="380">
        <f t="shared" si="2"/>
        <v>0</v>
      </c>
      <c r="J44" s="255" t="s">
        <v>139</v>
      </c>
      <c r="K44" s="517" t="s">
        <v>139</v>
      </c>
      <c r="L44" s="406" t="s">
        <v>139</v>
      </c>
      <c r="M44" s="411">
        <v>0</v>
      </c>
      <c r="N44" s="287" t="s">
        <v>139</v>
      </c>
      <c r="O44" s="308" t="str">
        <f>IF(OR(M44=0,N44="NA"),"NA",IFERROR(INDEX('Data - Reference'!$B$37:$B$50,MATCH('Unit Summary - Rent Roll'!$M44,INDEX('Data - Reference'!$B$37:$J$50,,MATCH('Unit Summary - Rent Roll'!$N44,'Data - Reference'!$B$37:$J$37,0)),-1),1),"NA"))</f>
        <v>NA</v>
      </c>
      <c r="P44" s="244" t="s">
        <v>85</v>
      </c>
      <c r="Q44" s="244" t="s">
        <v>85</v>
      </c>
      <c r="R44" s="193">
        <v>0</v>
      </c>
      <c r="S44" s="370">
        <f t="shared" si="3"/>
        <v>0</v>
      </c>
      <c r="T44" s="101">
        <f t="shared" si="4"/>
        <v>0</v>
      </c>
      <c r="U44" s="193">
        <v>0</v>
      </c>
      <c r="V44" s="370">
        <f t="shared" si="5"/>
        <v>0</v>
      </c>
      <c r="W44" s="101">
        <f t="shared" si="8"/>
        <v>0</v>
      </c>
      <c r="X44" s="72">
        <f>IFERROR(IF(INDEX(AC$14:AC$18,MATCH($E44,$AB$14:$AB$18,0))&lt;&gt;0,INDEX(AC$14:AC$18,MATCH($E44,$AB$14:$AB$18,0)),
IF($M44="Market",0,IF($L44="HUD FMR",INDEX('Data - Reference'!$B$31:$G$31,MATCH($E44,'Data - Reference'!$B$9:$G$9,0)),INDEX('Data - Reference'!$B$9:$G$31,MATCH($K44,'Data - Reference'!$B$9:$B$31,0),MATCH($E44,'Data - Reference'!$B$9:$G$9,0))))),0)</f>
        <v>0</v>
      </c>
      <c r="Y44" s="72">
        <f>IFERROR(IF(INDEX(AD$14:AD$18,MATCH($E44,$AB$14:$AB$18,0))&lt;&gt;0,INDEX(AD$14:AD$18,MATCH($E44,$AB$14:$AB$18,0)),
IF($K44="None - Market",0,-INDEX('Data - Reference'!$B$32:$G$32,MATCH($E44,'Data - Reference'!$B$9:$G$9,0)))),0)</f>
        <v>0</v>
      </c>
      <c r="Z44" s="76">
        <f t="shared" si="9"/>
        <v>0</v>
      </c>
      <c r="AA44" s="67">
        <f t="shared" si="6"/>
        <v>0</v>
      </c>
      <c r="AB44" s="101">
        <f t="shared" si="10"/>
        <v>0</v>
      </c>
      <c r="AC44" s="84">
        <f t="shared" si="11"/>
        <v>0</v>
      </c>
      <c r="AD44" s="86">
        <f t="shared" si="7"/>
        <v>0</v>
      </c>
      <c r="AE44" s="101">
        <f t="shared" si="12"/>
        <v>0</v>
      </c>
      <c r="AF44" s="424" t="str">
        <f t="shared" si="0"/>
        <v>NA</v>
      </c>
      <c r="AG44" s="429" t="str">
        <f t="shared" si="13"/>
        <v>NA</v>
      </c>
      <c r="AH44" s="429" t="str">
        <f t="shared" si="1"/>
        <v>NA</v>
      </c>
      <c r="AI44" s="426" t="str">
        <f t="shared" si="14"/>
        <v>NA</v>
      </c>
      <c r="AJ44" s="426" t="str">
        <f t="shared" si="15"/>
        <v>NA</v>
      </c>
      <c r="AK44" s="535" t="str">
        <f>IFERROR(INDEX('Current Tenant Policy-Reference'!Q:Q,MATCH('Unit Summary - Rent Roll'!AJ44,'Current Tenant Policy-Reference'!O:O,0)),"NA")</f>
        <v>NA</v>
      </c>
    </row>
    <row r="45" spans="2:37" ht="13.8" x14ac:dyDescent="0.3">
      <c r="B45" s="241">
        <v>19</v>
      </c>
      <c r="C45" s="600" t="s">
        <v>143</v>
      </c>
      <c r="D45" s="601"/>
      <c r="E45" s="190" t="s">
        <v>139</v>
      </c>
      <c r="F45" s="191">
        <v>0</v>
      </c>
      <c r="G45" s="244" t="s">
        <v>85</v>
      </c>
      <c r="H45" s="248">
        <v>0</v>
      </c>
      <c r="I45" s="380">
        <f t="shared" si="2"/>
        <v>0</v>
      </c>
      <c r="J45" s="255" t="s">
        <v>139</v>
      </c>
      <c r="K45" s="517" t="s">
        <v>139</v>
      </c>
      <c r="L45" s="406" t="s">
        <v>139</v>
      </c>
      <c r="M45" s="411">
        <v>0</v>
      </c>
      <c r="N45" s="287" t="s">
        <v>139</v>
      </c>
      <c r="O45" s="308" t="str">
        <f>IF(OR(M45=0,N45="NA"),"NA",IFERROR(INDEX('Data - Reference'!$B$37:$B$50,MATCH('Unit Summary - Rent Roll'!$M45,INDEX('Data - Reference'!$B$37:$J$50,,MATCH('Unit Summary - Rent Roll'!$N45,'Data - Reference'!$B$37:$J$37,0)),-1),1),"NA"))</f>
        <v>NA</v>
      </c>
      <c r="P45" s="244" t="s">
        <v>85</v>
      </c>
      <c r="Q45" s="244" t="s">
        <v>85</v>
      </c>
      <c r="R45" s="193">
        <v>0</v>
      </c>
      <c r="S45" s="370">
        <f t="shared" si="3"/>
        <v>0</v>
      </c>
      <c r="T45" s="101">
        <f t="shared" si="4"/>
        <v>0</v>
      </c>
      <c r="U45" s="193">
        <v>0</v>
      </c>
      <c r="V45" s="370">
        <f t="shared" si="5"/>
        <v>0</v>
      </c>
      <c r="W45" s="101">
        <f t="shared" si="8"/>
        <v>0</v>
      </c>
      <c r="X45" s="72">
        <f>IFERROR(IF(INDEX(AC$14:AC$18,MATCH($E45,$AB$14:$AB$18,0))&lt;&gt;0,INDEX(AC$14:AC$18,MATCH($E45,$AB$14:$AB$18,0)),
IF($M45="Market",0,IF($L45="HUD FMR",INDEX('Data - Reference'!$B$31:$G$31,MATCH($E45,'Data - Reference'!$B$9:$G$9,0)),INDEX('Data - Reference'!$B$9:$G$31,MATCH($K45,'Data - Reference'!$B$9:$B$31,0),MATCH($E45,'Data - Reference'!$B$9:$G$9,0))))),0)</f>
        <v>0</v>
      </c>
      <c r="Y45" s="72">
        <f>IFERROR(IF(INDEX(AD$14:AD$18,MATCH($E45,$AB$14:$AB$18,0))&lt;&gt;0,INDEX(AD$14:AD$18,MATCH($E45,$AB$14:$AB$18,0)),
IF($K45="None - Market",0,-INDEX('Data - Reference'!$B$32:$G$32,MATCH($E45,'Data - Reference'!$B$9:$G$9,0)))),0)</f>
        <v>0</v>
      </c>
      <c r="Z45" s="76">
        <f t="shared" si="9"/>
        <v>0</v>
      </c>
      <c r="AA45" s="67">
        <f t="shared" si="6"/>
        <v>0</v>
      </c>
      <c r="AB45" s="101">
        <f t="shared" si="10"/>
        <v>0</v>
      </c>
      <c r="AC45" s="84">
        <f t="shared" si="11"/>
        <v>0</v>
      </c>
      <c r="AD45" s="86">
        <f t="shared" si="7"/>
        <v>0</v>
      </c>
      <c r="AE45" s="101">
        <f t="shared" si="12"/>
        <v>0</v>
      </c>
      <c r="AF45" s="424" t="str">
        <f t="shared" si="0"/>
        <v>NA</v>
      </c>
      <c r="AG45" s="429" t="str">
        <f t="shared" si="13"/>
        <v>NA</v>
      </c>
      <c r="AH45" s="429" t="str">
        <f t="shared" si="1"/>
        <v>NA</v>
      </c>
      <c r="AI45" s="426" t="str">
        <f t="shared" si="14"/>
        <v>NA</v>
      </c>
      <c r="AJ45" s="426" t="str">
        <f t="shared" si="15"/>
        <v>NA</v>
      </c>
      <c r="AK45" s="535" t="str">
        <f>IFERROR(INDEX('Current Tenant Policy-Reference'!Q:Q,MATCH('Unit Summary - Rent Roll'!AJ45,'Current Tenant Policy-Reference'!O:O,0)),"NA")</f>
        <v>NA</v>
      </c>
    </row>
    <row r="46" spans="2:37" ht="13.8" x14ac:dyDescent="0.3">
      <c r="B46" s="241">
        <v>20</v>
      </c>
      <c r="C46" s="600" t="s">
        <v>143</v>
      </c>
      <c r="D46" s="601"/>
      <c r="E46" s="190" t="s">
        <v>139</v>
      </c>
      <c r="F46" s="191">
        <v>0</v>
      </c>
      <c r="G46" s="244" t="s">
        <v>85</v>
      </c>
      <c r="H46" s="248">
        <v>0</v>
      </c>
      <c r="I46" s="380">
        <f t="shared" si="2"/>
        <v>0</v>
      </c>
      <c r="J46" s="255" t="s">
        <v>139</v>
      </c>
      <c r="K46" s="517" t="s">
        <v>139</v>
      </c>
      <c r="L46" s="406" t="s">
        <v>139</v>
      </c>
      <c r="M46" s="411">
        <v>0</v>
      </c>
      <c r="N46" s="287" t="s">
        <v>139</v>
      </c>
      <c r="O46" s="308" t="str">
        <f>IF(OR(M46=0,N46="NA"),"NA",IFERROR(INDEX('Data - Reference'!$B$37:$B$50,MATCH('Unit Summary - Rent Roll'!$M46,INDEX('Data - Reference'!$B$37:$J$50,,MATCH('Unit Summary - Rent Roll'!$N46,'Data - Reference'!$B$37:$J$37,0)),-1),1),"NA"))</f>
        <v>NA</v>
      </c>
      <c r="P46" s="244" t="s">
        <v>85</v>
      </c>
      <c r="Q46" s="244" t="s">
        <v>85</v>
      </c>
      <c r="R46" s="193">
        <v>0</v>
      </c>
      <c r="S46" s="370">
        <f t="shared" si="3"/>
        <v>0</v>
      </c>
      <c r="T46" s="101">
        <f t="shared" si="4"/>
        <v>0</v>
      </c>
      <c r="U46" s="193">
        <v>0</v>
      </c>
      <c r="V46" s="370">
        <f t="shared" si="5"/>
        <v>0</v>
      </c>
      <c r="W46" s="101">
        <f t="shared" si="8"/>
        <v>0</v>
      </c>
      <c r="X46" s="72">
        <f>IFERROR(IF(INDEX(AC$14:AC$18,MATCH($E46,$AB$14:$AB$18,0))&lt;&gt;0,INDEX(AC$14:AC$18,MATCH($E46,$AB$14:$AB$18,0)),
IF($M46="Market",0,IF($L46="HUD FMR",INDEX('Data - Reference'!$B$31:$G$31,MATCH($E46,'Data - Reference'!$B$9:$G$9,0)),INDEX('Data - Reference'!$B$9:$G$31,MATCH($K46,'Data - Reference'!$B$9:$B$31,0),MATCH($E46,'Data - Reference'!$B$9:$G$9,0))))),0)</f>
        <v>0</v>
      </c>
      <c r="Y46" s="72">
        <f>IFERROR(IF(INDEX(AD$14:AD$18,MATCH($E46,$AB$14:$AB$18,0))&lt;&gt;0,INDEX(AD$14:AD$18,MATCH($E46,$AB$14:$AB$18,0)),
IF($K46="None - Market",0,-INDEX('Data - Reference'!$B$32:$G$32,MATCH($E46,'Data - Reference'!$B$9:$G$9,0)))),0)</f>
        <v>0</v>
      </c>
      <c r="Z46" s="76">
        <f t="shared" si="9"/>
        <v>0</v>
      </c>
      <c r="AA46" s="67">
        <f t="shared" si="6"/>
        <v>0</v>
      </c>
      <c r="AB46" s="101">
        <f t="shared" si="10"/>
        <v>0</v>
      </c>
      <c r="AC46" s="84">
        <f t="shared" si="11"/>
        <v>0</v>
      </c>
      <c r="AD46" s="86">
        <f t="shared" si="7"/>
        <v>0</v>
      </c>
      <c r="AE46" s="101">
        <f t="shared" si="12"/>
        <v>0</v>
      </c>
      <c r="AF46" s="424" t="str">
        <f t="shared" si="0"/>
        <v>NA</v>
      </c>
      <c r="AG46" s="429" t="str">
        <f t="shared" si="13"/>
        <v>NA</v>
      </c>
      <c r="AH46" s="429" t="str">
        <f t="shared" si="1"/>
        <v>NA</v>
      </c>
      <c r="AI46" s="426" t="str">
        <f t="shared" si="14"/>
        <v>NA</v>
      </c>
      <c r="AJ46" s="426" t="str">
        <f t="shared" si="15"/>
        <v>NA</v>
      </c>
      <c r="AK46" s="535" t="str">
        <f>IFERROR(INDEX('Current Tenant Policy-Reference'!Q:Q,MATCH('Unit Summary - Rent Roll'!AJ46,'Current Tenant Policy-Reference'!O:O,0)),"NA")</f>
        <v>NA</v>
      </c>
    </row>
    <row r="47" spans="2:37" ht="13.8" x14ac:dyDescent="0.3">
      <c r="B47" s="241">
        <v>21</v>
      </c>
      <c r="C47" s="600" t="s">
        <v>143</v>
      </c>
      <c r="D47" s="601"/>
      <c r="E47" s="190" t="s">
        <v>139</v>
      </c>
      <c r="F47" s="191">
        <v>0</v>
      </c>
      <c r="G47" s="244" t="s">
        <v>85</v>
      </c>
      <c r="H47" s="248">
        <v>0</v>
      </c>
      <c r="I47" s="380">
        <f t="shared" si="2"/>
        <v>0</v>
      </c>
      <c r="J47" s="255" t="s">
        <v>139</v>
      </c>
      <c r="K47" s="517" t="s">
        <v>139</v>
      </c>
      <c r="L47" s="406" t="s">
        <v>139</v>
      </c>
      <c r="M47" s="411">
        <v>0</v>
      </c>
      <c r="N47" s="287" t="s">
        <v>139</v>
      </c>
      <c r="O47" s="308" t="str">
        <f>IF(OR(M47=0,N47="NA"),"NA",IFERROR(INDEX('Data - Reference'!$B$37:$B$50,MATCH('Unit Summary - Rent Roll'!$M47,INDEX('Data - Reference'!$B$37:$J$50,,MATCH('Unit Summary - Rent Roll'!$N47,'Data - Reference'!$B$37:$J$37,0)),-1),1),"NA"))</f>
        <v>NA</v>
      </c>
      <c r="P47" s="244" t="s">
        <v>85</v>
      </c>
      <c r="Q47" s="244" t="s">
        <v>85</v>
      </c>
      <c r="R47" s="193">
        <v>0</v>
      </c>
      <c r="S47" s="370">
        <f t="shared" si="3"/>
        <v>0</v>
      </c>
      <c r="T47" s="101">
        <f t="shared" si="4"/>
        <v>0</v>
      </c>
      <c r="U47" s="193">
        <v>0</v>
      </c>
      <c r="V47" s="370">
        <f t="shared" si="5"/>
        <v>0</v>
      </c>
      <c r="W47" s="101">
        <f t="shared" si="8"/>
        <v>0</v>
      </c>
      <c r="X47" s="72">
        <f>IFERROR(IF(INDEX(AC$14:AC$18,MATCH($E47,$AB$14:$AB$18,0))&lt;&gt;0,INDEX(AC$14:AC$18,MATCH($E47,$AB$14:$AB$18,0)),
IF($M47="Market",0,IF($L47="HUD FMR",INDEX('Data - Reference'!$B$31:$G$31,MATCH($E47,'Data - Reference'!$B$9:$G$9,0)),INDEX('Data - Reference'!$B$9:$G$31,MATCH($K47,'Data - Reference'!$B$9:$B$31,0),MATCH($E47,'Data - Reference'!$B$9:$G$9,0))))),0)</f>
        <v>0</v>
      </c>
      <c r="Y47" s="72">
        <f>IFERROR(IF(INDEX(AD$14:AD$18,MATCH($E47,$AB$14:$AB$18,0))&lt;&gt;0,INDEX(AD$14:AD$18,MATCH($E47,$AB$14:$AB$18,0)),
IF($K47="None - Market",0,-INDEX('Data - Reference'!$B$32:$G$32,MATCH($E47,'Data - Reference'!$B$9:$G$9,0)))),0)</f>
        <v>0</v>
      </c>
      <c r="Z47" s="76">
        <f t="shared" si="9"/>
        <v>0</v>
      </c>
      <c r="AA47" s="67">
        <f t="shared" si="6"/>
        <v>0</v>
      </c>
      <c r="AB47" s="101">
        <f t="shared" si="10"/>
        <v>0</v>
      </c>
      <c r="AC47" s="84">
        <f t="shared" si="11"/>
        <v>0</v>
      </c>
      <c r="AD47" s="86">
        <f t="shared" si="7"/>
        <v>0</v>
      </c>
      <c r="AE47" s="101">
        <f t="shared" si="12"/>
        <v>0</v>
      </c>
      <c r="AF47" s="424" t="str">
        <f t="shared" si="0"/>
        <v>NA</v>
      </c>
      <c r="AG47" s="429" t="str">
        <f t="shared" si="13"/>
        <v>NA</v>
      </c>
      <c r="AH47" s="429" t="str">
        <f t="shared" si="1"/>
        <v>NA</v>
      </c>
      <c r="AI47" s="426" t="str">
        <f t="shared" si="14"/>
        <v>NA</v>
      </c>
      <c r="AJ47" s="426" t="str">
        <f t="shared" si="15"/>
        <v>NA</v>
      </c>
      <c r="AK47" s="535" t="str">
        <f>IFERROR(INDEX('Current Tenant Policy-Reference'!Q:Q,MATCH('Unit Summary - Rent Roll'!AJ47,'Current Tenant Policy-Reference'!O:O,0)),"NA")</f>
        <v>NA</v>
      </c>
    </row>
    <row r="48" spans="2:37" ht="13.8" x14ac:dyDescent="0.3">
      <c r="B48" s="241">
        <v>22</v>
      </c>
      <c r="C48" s="600" t="s">
        <v>143</v>
      </c>
      <c r="D48" s="601"/>
      <c r="E48" s="190" t="s">
        <v>139</v>
      </c>
      <c r="F48" s="191">
        <v>0</v>
      </c>
      <c r="G48" s="244" t="s">
        <v>85</v>
      </c>
      <c r="H48" s="248">
        <v>0</v>
      </c>
      <c r="I48" s="380">
        <f t="shared" si="2"/>
        <v>0</v>
      </c>
      <c r="J48" s="255" t="s">
        <v>139</v>
      </c>
      <c r="K48" s="517" t="s">
        <v>139</v>
      </c>
      <c r="L48" s="406" t="s">
        <v>139</v>
      </c>
      <c r="M48" s="411">
        <v>0</v>
      </c>
      <c r="N48" s="287" t="s">
        <v>139</v>
      </c>
      <c r="O48" s="308" t="str">
        <f>IF(OR(M48=0,N48="NA"),"NA",IFERROR(INDEX('Data - Reference'!$B$37:$B$50,MATCH('Unit Summary - Rent Roll'!$M48,INDEX('Data - Reference'!$B$37:$J$50,,MATCH('Unit Summary - Rent Roll'!$N48,'Data - Reference'!$B$37:$J$37,0)),-1),1),"NA"))</f>
        <v>NA</v>
      </c>
      <c r="P48" s="244" t="s">
        <v>85</v>
      </c>
      <c r="Q48" s="244" t="s">
        <v>85</v>
      </c>
      <c r="R48" s="193">
        <v>0</v>
      </c>
      <c r="S48" s="370">
        <f t="shared" si="3"/>
        <v>0</v>
      </c>
      <c r="T48" s="101">
        <f t="shared" si="4"/>
        <v>0</v>
      </c>
      <c r="U48" s="193">
        <v>0</v>
      </c>
      <c r="V48" s="370">
        <f t="shared" si="5"/>
        <v>0</v>
      </c>
      <c r="W48" s="101">
        <f t="shared" si="8"/>
        <v>0</v>
      </c>
      <c r="X48" s="72">
        <f>IFERROR(IF(INDEX(AC$14:AC$18,MATCH($E48,$AB$14:$AB$18,0))&lt;&gt;0,INDEX(AC$14:AC$18,MATCH($E48,$AB$14:$AB$18,0)),
IF($M48="Market",0,IF($L48="HUD FMR",INDEX('Data - Reference'!$B$31:$G$31,MATCH($E48,'Data - Reference'!$B$9:$G$9,0)),INDEX('Data - Reference'!$B$9:$G$31,MATCH($K48,'Data - Reference'!$B$9:$B$31,0),MATCH($E48,'Data - Reference'!$B$9:$G$9,0))))),0)</f>
        <v>0</v>
      </c>
      <c r="Y48" s="72">
        <f>IFERROR(IF(INDEX(AD$14:AD$18,MATCH($E48,$AB$14:$AB$18,0))&lt;&gt;0,INDEX(AD$14:AD$18,MATCH($E48,$AB$14:$AB$18,0)),
IF($K48="None - Market",0,-INDEX('Data - Reference'!$B$32:$G$32,MATCH($E48,'Data - Reference'!$B$9:$G$9,0)))),0)</f>
        <v>0</v>
      </c>
      <c r="Z48" s="76">
        <f t="shared" si="9"/>
        <v>0</v>
      </c>
      <c r="AA48" s="67">
        <f t="shared" si="6"/>
        <v>0</v>
      </c>
      <c r="AB48" s="101">
        <f t="shared" si="10"/>
        <v>0</v>
      </c>
      <c r="AC48" s="84">
        <f t="shared" si="11"/>
        <v>0</v>
      </c>
      <c r="AD48" s="86">
        <f t="shared" si="7"/>
        <v>0</v>
      </c>
      <c r="AE48" s="101">
        <f t="shared" si="12"/>
        <v>0</v>
      </c>
      <c r="AF48" s="424" t="str">
        <f t="shared" si="0"/>
        <v>NA</v>
      </c>
      <c r="AG48" s="429" t="str">
        <f t="shared" si="13"/>
        <v>NA</v>
      </c>
      <c r="AH48" s="429" t="str">
        <f t="shared" si="1"/>
        <v>NA</v>
      </c>
      <c r="AI48" s="426" t="str">
        <f t="shared" si="14"/>
        <v>NA</v>
      </c>
      <c r="AJ48" s="426" t="str">
        <f t="shared" si="15"/>
        <v>NA</v>
      </c>
      <c r="AK48" s="535" t="str">
        <f>IFERROR(INDEX('Current Tenant Policy-Reference'!Q:Q,MATCH('Unit Summary - Rent Roll'!AJ48,'Current Tenant Policy-Reference'!O:O,0)),"NA")</f>
        <v>NA</v>
      </c>
    </row>
    <row r="49" spans="2:37" ht="13.8" x14ac:dyDescent="0.3">
      <c r="B49" s="241">
        <v>23</v>
      </c>
      <c r="C49" s="600" t="s">
        <v>143</v>
      </c>
      <c r="D49" s="601"/>
      <c r="E49" s="190" t="s">
        <v>139</v>
      </c>
      <c r="F49" s="191">
        <v>0</v>
      </c>
      <c r="G49" s="244" t="s">
        <v>85</v>
      </c>
      <c r="H49" s="248">
        <v>0</v>
      </c>
      <c r="I49" s="380">
        <f t="shared" si="2"/>
        <v>0</v>
      </c>
      <c r="J49" s="255" t="s">
        <v>139</v>
      </c>
      <c r="K49" s="517" t="s">
        <v>139</v>
      </c>
      <c r="L49" s="406" t="s">
        <v>139</v>
      </c>
      <c r="M49" s="411">
        <v>0</v>
      </c>
      <c r="N49" s="287" t="s">
        <v>139</v>
      </c>
      <c r="O49" s="308" t="str">
        <f>IF(OR(M49=0,N49="NA"),"NA",IFERROR(INDEX('Data - Reference'!$B$37:$B$50,MATCH('Unit Summary - Rent Roll'!$M49,INDEX('Data - Reference'!$B$37:$J$50,,MATCH('Unit Summary - Rent Roll'!$N49,'Data - Reference'!$B$37:$J$37,0)),-1),1),"NA"))</f>
        <v>NA</v>
      </c>
      <c r="P49" s="244" t="s">
        <v>85</v>
      </c>
      <c r="Q49" s="244" t="s">
        <v>85</v>
      </c>
      <c r="R49" s="193">
        <v>0</v>
      </c>
      <c r="S49" s="370">
        <f t="shared" si="3"/>
        <v>0</v>
      </c>
      <c r="T49" s="101">
        <f t="shared" si="4"/>
        <v>0</v>
      </c>
      <c r="U49" s="193">
        <v>0</v>
      </c>
      <c r="V49" s="370">
        <f t="shared" si="5"/>
        <v>0</v>
      </c>
      <c r="W49" s="101">
        <f t="shared" si="8"/>
        <v>0</v>
      </c>
      <c r="X49" s="72">
        <f>IFERROR(IF(INDEX(AC$14:AC$18,MATCH($E49,$AB$14:$AB$18,0))&lt;&gt;0,INDEX(AC$14:AC$18,MATCH($E49,$AB$14:$AB$18,0)),
IF($M49="Market",0,IF($L49="HUD FMR",INDEX('Data - Reference'!$B$31:$G$31,MATCH($E49,'Data - Reference'!$B$9:$G$9,0)),INDEX('Data - Reference'!$B$9:$G$31,MATCH($K49,'Data - Reference'!$B$9:$B$31,0),MATCH($E49,'Data - Reference'!$B$9:$G$9,0))))),0)</f>
        <v>0</v>
      </c>
      <c r="Y49" s="72">
        <f>IFERROR(IF(INDEX(AD$14:AD$18,MATCH($E49,$AB$14:$AB$18,0))&lt;&gt;0,INDEX(AD$14:AD$18,MATCH($E49,$AB$14:$AB$18,0)),
IF($K49="None - Market",0,-INDEX('Data - Reference'!$B$32:$G$32,MATCH($E49,'Data - Reference'!$B$9:$G$9,0)))),0)</f>
        <v>0</v>
      </c>
      <c r="Z49" s="76">
        <f t="shared" si="9"/>
        <v>0</v>
      </c>
      <c r="AA49" s="67">
        <f t="shared" si="6"/>
        <v>0</v>
      </c>
      <c r="AB49" s="101">
        <f t="shared" si="10"/>
        <v>0</v>
      </c>
      <c r="AC49" s="84">
        <f t="shared" si="11"/>
        <v>0</v>
      </c>
      <c r="AD49" s="86">
        <f t="shared" si="7"/>
        <v>0</v>
      </c>
      <c r="AE49" s="101">
        <f t="shared" si="12"/>
        <v>0</v>
      </c>
      <c r="AF49" s="424" t="str">
        <f t="shared" si="0"/>
        <v>NA</v>
      </c>
      <c r="AG49" s="429" t="str">
        <f t="shared" si="13"/>
        <v>NA</v>
      </c>
      <c r="AH49" s="429" t="str">
        <f t="shared" si="1"/>
        <v>NA</v>
      </c>
      <c r="AI49" s="426" t="str">
        <f t="shared" si="14"/>
        <v>NA</v>
      </c>
      <c r="AJ49" s="426" t="str">
        <f t="shared" si="15"/>
        <v>NA</v>
      </c>
      <c r="AK49" s="535" t="str">
        <f>IFERROR(INDEX('Current Tenant Policy-Reference'!Q:Q,MATCH('Unit Summary - Rent Roll'!AJ49,'Current Tenant Policy-Reference'!O:O,0)),"NA")</f>
        <v>NA</v>
      </c>
    </row>
    <row r="50" spans="2:37" ht="13.8" x14ac:dyDescent="0.3">
      <c r="B50" s="241">
        <v>24</v>
      </c>
      <c r="C50" s="600" t="s">
        <v>143</v>
      </c>
      <c r="D50" s="601"/>
      <c r="E50" s="190" t="s">
        <v>139</v>
      </c>
      <c r="F50" s="191">
        <v>0</v>
      </c>
      <c r="G50" s="244" t="s">
        <v>85</v>
      </c>
      <c r="H50" s="248">
        <v>0</v>
      </c>
      <c r="I50" s="380">
        <f t="shared" si="2"/>
        <v>0</v>
      </c>
      <c r="J50" s="255" t="s">
        <v>139</v>
      </c>
      <c r="K50" s="517" t="s">
        <v>139</v>
      </c>
      <c r="L50" s="406" t="s">
        <v>139</v>
      </c>
      <c r="M50" s="411">
        <v>0</v>
      </c>
      <c r="N50" s="287" t="s">
        <v>139</v>
      </c>
      <c r="O50" s="308" t="str">
        <f>IF(OR(M50=0,N50="NA"),"NA",IFERROR(INDEX('Data - Reference'!$B$37:$B$50,MATCH('Unit Summary - Rent Roll'!$M50,INDEX('Data - Reference'!$B$37:$J$50,,MATCH('Unit Summary - Rent Roll'!$N50,'Data - Reference'!$B$37:$J$37,0)),-1),1),"NA"))</f>
        <v>NA</v>
      </c>
      <c r="P50" s="244" t="s">
        <v>85</v>
      </c>
      <c r="Q50" s="244" t="s">
        <v>85</v>
      </c>
      <c r="R50" s="193">
        <v>0</v>
      </c>
      <c r="S50" s="370">
        <f t="shared" si="3"/>
        <v>0</v>
      </c>
      <c r="T50" s="101">
        <f t="shared" si="4"/>
        <v>0</v>
      </c>
      <c r="U50" s="193">
        <v>0</v>
      </c>
      <c r="V50" s="370">
        <f t="shared" si="5"/>
        <v>0</v>
      </c>
      <c r="W50" s="101">
        <f t="shared" si="8"/>
        <v>0</v>
      </c>
      <c r="X50" s="72">
        <f>IFERROR(IF(INDEX(AC$14:AC$18,MATCH($E50,$AB$14:$AB$18,0))&lt;&gt;0,INDEX(AC$14:AC$18,MATCH($E50,$AB$14:$AB$18,0)),
IF($M50="Market",0,IF($L50="HUD FMR",INDEX('Data - Reference'!$B$31:$G$31,MATCH($E50,'Data - Reference'!$B$9:$G$9,0)),INDEX('Data - Reference'!$B$9:$G$31,MATCH($K50,'Data - Reference'!$B$9:$B$31,0),MATCH($E50,'Data - Reference'!$B$9:$G$9,0))))),0)</f>
        <v>0</v>
      </c>
      <c r="Y50" s="72">
        <f>IFERROR(IF(INDEX(AD$14:AD$18,MATCH($E50,$AB$14:$AB$18,0))&lt;&gt;0,INDEX(AD$14:AD$18,MATCH($E50,$AB$14:$AB$18,0)),
IF($K50="None - Market",0,-INDEX('Data - Reference'!$B$32:$G$32,MATCH($E50,'Data - Reference'!$B$9:$G$9,0)))),0)</f>
        <v>0</v>
      </c>
      <c r="Z50" s="76">
        <f t="shared" si="9"/>
        <v>0</v>
      </c>
      <c r="AA50" s="67">
        <f t="shared" si="6"/>
        <v>0</v>
      </c>
      <c r="AB50" s="101">
        <f t="shared" si="10"/>
        <v>0</v>
      </c>
      <c r="AC50" s="84">
        <f t="shared" si="11"/>
        <v>0</v>
      </c>
      <c r="AD50" s="86">
        <f t="shared" si="7"/>
        <v>0</v>
      </c>
      <c r="AE50" s="101">
        <f t="shared" si="12"/>
        <v>0</v>
      </c>
      <c r="AF50" s="424" t="str">
        <f t="shared" si="0"/>
        <v>NA</v>
      </c>
      <c r="AG50" s="429" t="str">
        <f t="shared" si="13"/>
        <v>NA</v>
      </c>
      <c r="AH50" s="429" t="str">
        <f t="shared" si="1"/>
        <v>NA</v>
      </c>
      <c r="AI50" s="426" t="str">
        <f t="shared" si="14"/>
        <v>NA</v>
      </c>
      <c r="AJ50" s="426" t="str">
        <f t="shared" si="15"/>
        <v>NA</v>
      </c>
      <c r="AK50" s="535" t="str">
        <f>IFERROR(INDEX('Current Tenant Policy-Reference'!Q:Q,MATCH('Unit Summary - Rent Roll'!AJ50,'Current Tenant Policy-Reference'!O:O,0)),"NA")</f>
        <v>NA</v>
      </c>
    </row>
    <row r="51" spans="2:37" ht="13.8" x14ac:dyDescent="0.3">
      <c r="B51" s="241">
        <v>25</v>
      </c>
      <c r="C51" s="600" t="s">
        <v>143</v>
      </c>
      <c r="D51" s="601"/>
      <c r="E51" s="190" t="s">
        <v>139</v>
      </c>
      <c r="F51" s="191">
        <v>0</v>
      </c>
      <c r="G51" s="244" t="s">
        <v>85</v>
      </c>
      <c r="H51" s="248">
        <v>0</v>
      </c>
      <c r="I51" s="380">
        <f t="shared" si="2"/>
        <v>0</v>
      </c>
      <c r="J51" s="255" t="s">
        <v>139</v>
      </c>
      <c r="K51" s="517" t="s">
        <v>139</v>
      </c>
      <c r="L51" s="406" t="s">
        <v>139</v>
      </c>
      <c r="M51" s="411">
        <v>0</v>
      </c>
      <c r="N51" s="287" t="s">
        <v>139</v>
      </c>
      <c r="O51" s="308" t="str">
        <f>IF(OR(M51=0,N51="NA"),"NA",IFERROR(INDEX('Data - Reference'!$B$37:$B$50,MATCH('Unit Summary - Rent Roll'!$M51,INDEX('Data - Reference'!$B$37:$J$50,,MATCH('Unit Summary - Rent Roll'!$N51,'Data - Reference'!$B$37:$J$37,0)),-1),1),"NA"))</f>
        <v>NA</v>
      </c>
      <c r="P51" s="244" t="s">
        <v>85</v>
      </c>
      <c r="Q51" s="244" t="s">
        <v>85</v>
      </c>
      <c r="R51" s="193">
        <v>0</v>
      </c>
      <c r="S51" s="370">
        <f t="shared" si="3"/>
        <v>0</v>
      </c>
      <c r="T51" s="101">
        <f t="shared" si="4"/>
        <v>0</v>
      </c>
      <c r="U51" s="193">
        <v>0</v>
      </c>
      <c r="V51" s="370">
        <f t="shared" si="5"/>
        <v>0</v>
      </c>
      <c r="W51" s="101">
        <f t="shared" si="8"/>
        <v>0</v>
      </c>
      <c r="X51" s="72">
        <f>IFERROR(IF(INDEX(AC$14:AC$18,MATCH($E51,$AB$14:$AB$18,0))&lt;&gt;0,INDEX(AC$14:AC$18,MATCH($E51,$AB$14:$AB$18,0)),
IF($M51="Market",0,IF($L51="HUD FMR",INDEX('Data - Reference'!$B$31:$G$31,MATCH($E51,'Data - Reference'!$B$9:$G$9,0)),INDEX('Data - Reference'!$B$9:$G$31,MATCH($K51,'Data - Reference'!$B$9:$B$31,0),MATCH($E51,'Data - Reference'!$B$9:$G$9,0))))),0)</f>
        <v>0</v>
      </c>
      <c r="Y51" s="72">
        <f>IFERROR(IF(INDEX(AD$14:AD$18,MATCH($E51,$AB$14:$AB$18,0))&lt;&gt;0,INDEX(AD$14:AD$18,MATCH($E51,$AB$14:$AB$18,0)),
IF($K51="None - Market",0,-INDEX('Data - Reference'!$B$32:$G$32,MATCH($E51,'Data - Reference'!$B$9:$G$9,0)))),0)</f>
        <v>0</v>
      </c>
      <c r="Z51" s="76">
        <f t="shared" si="9"/>
        <v>0</v>
      </c>
      <c r="AA51" s="67">
        <f t="shared" si="6"/>
        <v>0</v>
      </c>
      <c r="AB51" s="101">
        <f t="shared" si="10"/>
        <v>0</v>
      </c>
      <c r="AC51" s="84">
        <f t="shared" si="11"/>
        <v>0</v>
      </c>
      <c r="AD51" s="86">
        <f t="shared" si="7"/>
        <v>0</v>
      </c>
      <c r="AE51" s="101">
        <f t="shared" si="12"/>
        <v>0</v>
      </c>
      <c r="AF51" s="424" t="str">
        <f t="shared" si="0"/>
        <v>NA</v>
      </c>
      <c r="AG51" s="429" t="str">
        <f t="shared" si="13"/>
        <v>NA</v>
      </c>
      <c r="AH51" s="429" t="str">
        <f t="shared" si="1"/>
        <v>NA</v>
      </c>
      <c r="AI51" s="426" t="str">
        <f t="shared" si="14"/>
        <v>NA</v>
      </c>
      <c r="AJ51" s="426" t="str">
        <f t="shared" si="15"/>
        <v>NA</v>
      </c>
      <c r="AK51" s="535" t="str">
        <f>IFERROR(INDEX('Current Tenant Policy-Reference'!Q:Q,MATCH('Unit Summary - Rent Roll'!AJ51,'Current Tenant Policy-Reference'!O:O,0)),"NA")</f>
        <v>NA</v>
      </c>
    </row>
    <row r="52" spans="2:37" ht="13.8" x14ac:dyDescent="0.3">
      <c r="B52" s="241">
        <v>26</v>
      </c>
      <c r="C52" s="600" t="s">
        <v>143</v>
      </c>
      <c r="D52" s="601"/>
      <c r="E52" s="190" t="s">
        <v>139</v>
      </c>
      <c r="F52" s="191">
        <v>0</v>
      </c>
      <c r="G52" s="244" t="s">
        <v>85</v>
      </c>
      <c r="H52" s="248">
        <v>0</v>
      </c>
      <c r="I52" s="380">
        <f t="shared" si="2"/>
        <v>0</v>
      </c>
      <c r="J52" s="255" t="s">
        <v>139</v>
      </c>
      <c r="K52" s="517" t="s">
        <v>139</v>
      </c>
      <c r="L52" s="406" t="s">
        <v>139</v>
      </c>
      <c r="M52" s="411">
        <v>0</v>
      </c>
      <c r="N52" s="287" t="s">
        <v>139</v>
      </c>
      <c r="O52" s="308" t="str">
        <f>IF(OR(M52=0,N52="NA"),"NA",IFERROR(INDEX('Data - Reference'!$B$37:$B$50,MATCH('Unit Summary - Rent Roll'!$M52,INDEX('Data - Reference'!$B$37:$J$50,,MATCH('Unit Summary - Rent Roll'!$N52,'Data - Reference'!$B$37:$J$37,0)),-1),1),"NA"))</f>
        <v>NA</v>
      </c>
      <c r="P52" s="244" t="s">
        <v>85</v>
      </c>
      <c r="Q52" s="244" t="s">
        <v>85</v>
      </c>
      <c r="R52" s="193">
        <v>0</v>
      </c>
      <c r="S52" s="370">
        <f t="shared" si="3"/>
        <v>0</v>
      </c>
      <c r="T52" s="101">
        <f t="shared" si="4"/>
        <v>0</v>
      </c>
      <c r="U52" s="193">
        <v>0</v>
      </c>
      <c r="V52" s="370">
        <f t="shared" si="5"/>
        <v>0</v>
      </c>
      <c r="W52" s="101">
        <f t="shared" si="8"/>
        <v>0</v>
      </c>
      <c r="X52" s="72">
        <f>IFERROR(IF(INDEX(AC$14:AC$18,MATCH($E52,$AB$14:$AB$18,0))&lt;&gt;0,INDEX(AC$14:AC$18,MATCH($E52,$AB$14:$AB$18,0)),
IF($M52="Market",0,IF($L52="HUD FMR",INDEX('Data - Reference'!$B$31:$G$31,MATCH($E52,'Data - Reference'!$B$9:$G$9,0)),INDEX('Data - Reference'!$B$9:$G$31,MATCH($K52,'Data - Reference'!$B$9:$B$31,0),MATCH($E52,'Data - Reference'!$B$9:$G$9,0))))),0)</f>
        <v>0</v>
      </c>
      <c r="Y52" s="72">
        <f>IFERROR(IF(INDEX(AD$14:AD$18,MATCH($E52,$AB$14:$AB$18,0))&lt;&gt;0,INDEX(AD$14:AD$18,MATCH($E52,$AB$14:$AB$18,0)),
IF($K52="None - Market",0,-INDEX('Data - Reference'!$B$32:$G$32,MATCH($E52,'Data - Reference'!$B$9:$G$9,0)))),0)</f>
        <v>0</v>
      </c>
      <c r="Z52" s="76">
        <f t="shared" si="9"/>
        <v>0</v>
      </c>
      <c r="AA52" s="67">
        <f t="shared" si="6"/>
        <v>0</v>
      </c>
      <c r="AB52" s="101">
        <f t="shared" si="10"/>
        <v>0</v>
      </c>
      <c r="AC52" s="84">
        <f t="shared" si="11"/>
        <v>0</v>
      </c>
      <c r="AD52" s="86">
        <f t="shared" si="7"/>
        <v>0</v>
      </c>
      <c r="AE52" s="101">
        <f t="shared" si="12"/>
        <v>0</v>
      </c>
      <c r="AF52" s="424" t="str">
        <f t="shared" si="0"/>
        <v>NA</v>
      </c>
      <c r="AG52" s="429" t="str">
        <f t="shared" si="13"/>
        <v>NA</v>
      </c>
      <c r="AH52" s="429" t="str">
        <f t="shared" si="1"/>
        <v>NA</v>
      </c>
      <c r="AI52" s="426" t="str">
        <f t="shared" si="14"/>
        <v>NA</v>
      </c>
      <c r="AJ52" s="426" t="str">
        <f t="shared" si="15"/>
        <v>NA</v>
      </c>
      <c r="AK52" s="535" t="str">
        <f>IFERROR(INDEX('Current Tenant Policy-Reference'!Q:Q,MATCH('Unit Summary - Rent Roll'!AJ52,'Current Tenant Policy-Reference'!O:O,0)),"NA")</f>
        <v>NA</v>
      </c>
    </row>
    <row r="53" spans="2:37" ht="13.8" x14ac:dyDescent="0.3">
      <c r="B53" s="241">
        <v>27</v>
      </c>
      <c r="C53" s="600" t="s">
        <v>143</v>
      </c>
      <c r="D53" s="601"/>
      <c r="E53" s="190" t="s">
        <v>139</v>
      </c>
      <c r="F53" s="191">
        <v>0</v>
      </c>
      <c r="G53" s="244" t="s">
        <v>85</v>
      </c>
      <c r="H53" s="248">
        <v>0</v>
      </c>
      <c r="I53" s="380">
        <f t="shared" si="2"/>
        <v>0</v>
      </c>
      <c r="J53" s="255" t="s">
        <v>139</v>
      </c>
      <c r="K53" s="517" t="s">
        <v>139</v>
      </c>
      <c r="L53" s="406" t="s">
        <v>139</v>
      </c>
      <c r="M53" s="411">
        <v>0</v>
      </c>
      <c r="N53" s="287" t="s">
        <v>139</v>
      </c>
      <c r="O53" s="308" t="str">
        <f>IF(OR(M53=0,N53="NA"),"NA",IFERROR(INDEX('Data - Reference'!$B$37:$B$50,MATCH('Unit Summary - Rent Roll'!$M53,INDEX('Data - Reference'!$B$37:$J$50,,MATCH('Unit Summary - Rent Roll'!$N53,'Data - Reference'!$B$37:$J$37,0)),-1),1),"NA"))</f>
        <v>NA</v>
      </c>
      <c r="P53" s="244" t="s">
        <v>85</v>
      </c>
      <c r="Q53" s="244" t="s">
        <v>85</v>
      </c>
      <c r="R53" s="193">
        <v>0</v>
      </c>
      <c r="S53" s="370">
        <f t="shared" si="3"/>
        <v>0</v>
      </c>
      <c r="T53" s="101">
        <f t="shared" si="4"/>
        <v>0</v>
      </c>
      <c r="U53" s="193">
        <v>0</v>
      </c>
      <c r="V53" s="370">
        <f t="shared" si="5"/>
        <v>0</v>
      </c>
      <c r="W53" s="101">
        <f t="shared" si="8"/>
        <v>0</v>
      </c>
      <c r="X53" s="72">
        <f>IFERROR(IF(INDEX(AC$14:AC$18,MATCH($E53,$AB$14:$AB$18,0))&lt;&gt;0,INDEX(AC$14:AC$18,MATCH($E53,$AB$14:$AB$18,0)),
IF($M53="Market",0,IF($L53="HUD FMR",INDEX('Data - Reference'!$B$31:$G$31,MATCH($E53,'Data - Reference'!$B$9:$G$9,0)),INDEX('Data - Reference'!$B$9:$G$31,MATCH($K53,'Data - Reference'!$B$9:$B$31,0),MATCH($E53,'Data - Reference'!$B$9:$G$9,0))))),0)</f>
        <v>0</v>
      </c>
      <c r="Y53" s="72">
        <f>IFERROR(IF(INDEX(AD$14:AD$18,MATCH($E53,$AB$14:$AB$18,0))&lt;&gt;0,INDEX(AD$14:AD$18,MATCH($E53,$AB$14:$AB$18,0)),
IF($K53="None - Market",0,-INDEX('Data - Reference'!$B$32:$G$32,MATCH($E53,'Data - Reference'!$B$9:$G$9,0)))),0)</f>
        <v>0</v>
      </c>
      <c r="Z53" s="76">
        <f t="shared" si="9"/>
        <v>0</v>
      </c>
      <c r="AA53" s="67">
        <f t="shared" si="6"/>
        <v>0</v>
      </c>
      <c r="AB53" s="101">
        <f t="shared" si="10"/>
        <v>0</v>
      </c>
      <c r="AC53" s="84">
        <f t="shared" si="11"/>
        <v>0</v>
      </c>
      <c r="AD53" s="86">
        <f t="shared" si="7"/>
        <v>0</v>
      </c>
      <c r="AE53" s="101">
        <f t="shared" si="12"/>
        <v>0</v>
      </c>
      <c r="AF53" s="424" t="str">
        <f t="shared" si="0"/>
        <v>NA</v>
      </c>
      <c r="AG53" s="429" t="str">
        <f t="shared" si="13"/>
        <v>NA</v>
      </c>
      <c r="AH53" s="429" t="str">
        <f t="shared" si="1"/>
        <v>NA</v>
      </c>
      <c r="AI53" s="426" t="str">
        <f t="shared" si="14"/>
        <v>NA</v>
      </c>
      <c r="AJ53" s="426" t="str">
        <f t="shared" si="15"/>
        <v>NA</v>
      </c>
      <c r="AK53" s="535" t="str">
        <f>IFERROR(INDEX('Current Tenant Policy-Reference'!Q:Q,MATCH('Unit Summary - Rent Roll'!AJ53,'Current Tenant Policy-Reference'!O:O,0)),"NA")</f>
        <v>NA</v>
      </c>
    </row>
    <row r="54" spans="2:37" ht="13.8" x14ac:dyDescent="0.3">
      <c r="B54" s="241">
        <v>28</v>
      </c>
      <c r="C54" s="600" t="s">
        <v>143</v>
      </c>
      <c r="D54" s="601"/>
      <c r="E54" s="190" t="s">
        <v>139</v>
      </c>
      <c r="F54" s="191">
        <v>0</v>
      </c>
      <c r="G54" s="244" t="s">
        <v>85</v>
      </c>
      <c r="H54" s="248">
        <v>0</v>
      </c>
      <c r="I54" s="380">
        <f t="shared" si="2"/>
        <v>0</v>
      </c>
      <c r="J54" s="255" t="s">
        <v>139</v>
      </c>
      <c r="K54" s="517" t="s">
        <v>139</v>
      </c>
      <c r="L54" s="406" t="s">
        <v>139</v>
      </c>
      <c r="M54" s="411">
        <v>0</v>
      </c>
      <c r="N54" s="287" t="s">
        <v>139</v>
      </c>
      <c r="O54" s="308" t="str">
        <f>IF(OR(M54=0,N54="NA"),"NA",IFERROR(INDEX('Data - Reference'!$B$37:$B$50,MATCH('Unit Summary - Rent Roll'!$M54,INDEX('Data - Reference'!$B$37:$J$50,,MATCH('Unit Summary - Rent Roll'!$N54,'Data - Reference'!$B$37:$J$37,0)),-1),1),"NA"))</f>
        <v>NA</v>
      </c>
      <c r="P54" s="244" t="s">
        <v>85</v>
      </c>
      <c r="Q54" s="244" t="s">
        <v>85</v>
      </c>
      <c r="R54" s="193">
        <v>0</v>
      </c>
      <c r="S54" s="370">
        <f t="shared" si="3"/>
        <v>0</v>
      </c>
      <c r="T54" s="101">
        <f t="shared" si="4"/>
        <v>0</v>
      </c>
      <c r="U54" s="193">
        <v>0</v>
      </c>
      <c r="V54" s="370">
        <f t="shared" si="5"/>
        <v>0</v>
      </c>
      <c r="W54" s="101">
        <f t="shared" si="8"/>
        <v>0</v>
      </c>
      <c r="X54" s="72">
        <f>IFERROR(IF(INDEX(AC$14:AC$18,MATCH($E54,$AB$14:$AB$18,0))&lt;&gt;0,INDEX(AC$14:AC$18,MATCH($E54,$AB$14:$AB$18,0)),
IF($M54="Market",0,IF($L54="HUD FMR",INDEX('Data - Reference'!$B$31:$G$31,MATCH($E54,'Data - Reference'!$B$9:$G$9,0)),INDEX('Data - Reference'!$B$9:$G$31,MATCH($K54,'Data - Reference'!$B$9:$B$31,0),MATCH($E54,'Data - Reference'!$B$9:$G$9,0))))),0)</f>
        <v>0</v>
      </c>
      <c r="Y54" s="72">
        <f>IFERROR(IF(INDEX(AD$14:AD$18,MATCH($E54,$AB$14:$AB$18,0))&lt;&gt;0,INDEX(AD$14:AD$18,MATCH($E54,$AB$14:$AB$18,0)),
IF($K54="None - Market",0,-INDEX('Data - Reference'!$B$32:$G$32,MATCH($E54,'Data - Reference'!$B$9:$G$9,0)))),0)</f>
        <v>0</v>
      </c>
      <c r="Z54" s="76">
        <f t="shared" si="9"/>
        <v>0</v>
      </c>
      <c r="AA54" s="67">
        <f t="shared" si="6"/>
        <v>0</v>
      </c>
      <c r="AB54" s="101">
        <f t="shared" si="10"/>
        <v>0</v>
      </c>
      <c r="AC54" s="84">
        <f t="shared" si="11"/>
        <v>0</v>
      </c>
      <c r="AD54" s="86">
        <f t="shared" si="7"/>
        <v>0</v>
      </c>
      <c r="AE54" s="101">
        <f t="shared" si="12"/>
        <v>0</v>
      </c>
      <c r="AF54" s="424" t="str">
        <f t="shared" si="0"/>
        <v>NA</v>
      </c>
      <c r="AG54" s="429" t="str">
        <f t="shared" si="13"/>
        <v>NA</v>
      </c>
      <c r="AH54" s="429" t="str">
        <f t="shared" si="1"/>
        <v>NA</v>
      </c>
      <c r="AI54" s="426" t="str">
        <f t="shared" si="14"/>
        <v>NA</v>
      </c>
      <c r="AJ54" s="426" t="str">
        <f t="shared" si="15"/>
        <v>NA</v>
      </c>
      <c r="AK54" s="535" t="str">
        <f>IFERROR(INDEX('Current Tenant Policy-Reference'!Q:Q,MATCH('Unit Summary - Rent Roll'!AJ54,'Current Tenant Policy-Reference'!O:O,0)),"NA")</f>
        <v>NA</v>
      </c>
    </row>
    <row r="55" spans="2:37" ht="13.8" x14ac:dyDescent="0.3">
      <c r="B55" s="241">
        <v>29</v>
      </c>
      <c r="C55" s="600" t="s">
        <v>143</v>
      </c>
      <c r="D55" s="601"/>
      <c r="E55" s="190" t="s">
        <v>139</v>
      </c>
      <c r="F55" s="191">
        <v>0</v>
      </c>
      <c r="G55" s="244" t="s">
        <v>85</v>
      </c>
      <c r="H55" s="248">
        <v>0</v>
      </c>
      <c r="I55" s="380">
        <f t="shared" si="2"/>
        <v>0</v>
      </c>
      <c r="J55" s="255" t="s">
        <v>139</v>
      </c>
      <c r="K55" s="517" t="s">
        <v>139</v>
      </c>
      <c r="L55" s="406" t="s">
        <v>139</v>
      </c>
      <c r="M55" s="411">
        <v>0</v>
      </c>
      <c r="N55" s="287" t="s">
        <v>139</v>
      </c>
      <c r="O55" s="308" t="str">
        <f>IF(OR(M55=0,N55="NA"),"NA",IFERROR(INDEX('Data - Reference'!$B$37:$B$50,MATCH('Unit Summary - Rent Roll'!$M55,INDEX('Data - Reference'!$B$37:$J$50,,MATCH('Unit Summary - Rent Roll'!$N55,'Data - Reference'!$B$37:$J$37,0)),-1),1),"NA"))</f>
        <v>NA</v>
      </c>
      <c r="P55" s="244" t="s">
        <v>85</v>
      </c>
      <c r="Q55" s="244" t="s">
        <v>85</v>
      </c>
      <c r="R55" s="193">
        <v>0</v>
      </c>
      <c r="S55" s="370">
        <f t="shared" si="3"/>
        <v>0</v>
      </c>
      <c r="T55" s="101">
        <f t="shared" si="4"/>
        <v>0</v>
      </c>
      <c r="U55" s="193">
        <v>0</v>
      </c>
      <c r="V55" s="370">
        <f t="shared" si="5"/>
        <v>0</v>
      </c>
      <c r="W55" s="101">
        <f t="shared" si="8"/>
        <v>0</v>
      </c>
      <c r="X55" s="72">
        <f>IFERROR(IF(INDEX(AC$14:AC$18,MATCH($E55,$AB$14:$AB$18,0))&lt;&gt;0,INDEX(AC$14:AC$18,MATCH($E55,$AB$14:$AB$18,0)),
IF($M55="Market",0,IF($L55="HUD FMR",INDEX('Data - Reference'!$B$31:$G$31,MATCH($E55,'Data - Reference'!$B$9:$G$9,0)),INDEX('Data - Reference'!$B$9:$G$31,MATCH($K55,'Data - Reference'!$B$9:$B$31,0),MATCH($E55,'Data - Reference'!$B$9:$G$9,0))))),0)</f>
        <v>0</v>
      </c>
      <c r="Y55" s="72">
        <f>IFERROR(IF(INDEX(AD$14:AD$18,MATCH($E55,$AB$14:$AB$18,0))&lt;&gt;0,INDEX(AD$14:AD$18,MATCH($E55,$AB$14:$AB$18,0)),
IF($K55="None - Market",0,-INDEX('Data - Reference'!$B$32:$G$32,MATCH($E55,'Data - Reference'!$B$9:$G$9,0)))),0)</f>
        <v>0</v>
      </c>
      <c r="Z55" s="76">
        <f t="shared" si="9"/>
        <v>0</v>
      </c>
      <c r="AA55" s="67">
        <f t="shared" si="6"/>
        <v>0</v>
      </c>
      <c r="AB55" s="101">
        <f t="shared" si="10"/>
        <v>0</v>
      </c>
      <c r="AC55" s="84">
        <f t="shared" si="11"/>
        <v>0</v>
      </c>
      <c r="AD55" s="86">
        <f t="shared" si="7"/>
        <v>0</v>
      </c>
      <c r="AE55" s="101">
        <f t="shared" si="12"/>
        <v>0</v>
      </c>
      <c r="AF55" s="424" t="str">
        <f t="shared" si="0"/>
        <v>NA</v>
      </c>
      <c r="AG55" s="429" t="str">
        <f t="shared" si="13"/>
        <v>NA</v>
      </c>
      <c r="AH55" s="429" t="str">
        <f t="shared" si="1"/>
        <v>NA</v>
      </c>
      <c r="AI55" s="426" t="str">
        <f t="shared" si="14"/>
        <v>NA</v>
      </c>
      <c r="AJ55" s="426" t="str">
        <f t="shared" si="15"/>
        <v>NA</v>
      </c>
      <c r="AK55" s="535" t="str">
        <f>IFERROR(INDEX('Current Tenant Policy-Reference'!Q:Q,MATCH('Unit Summary - Rent Roll'!AJ55,'Current Tenant Policy-Reference'!O:O,0)),"NA")</f>
        <v>NA</v>
      </c>
    </row>
    <row r="56" spans="2:37" ht="13.8" x14ac:dyDescent="0.3">
      <c r="B56" s="241">
        <v>30</v>
      </c>
      <c r="C56" s="600" t="s">
        <v>143</v>
      </c>
      <c r="D56" s="601"/>
      <c r="E56" s="190" t="s">
        <v>139</v>
      </c>
      <c r="F56" s="191">
        <v>0</v>
      </c>
      <c r="G56" s="244" t="s">
        <v>85</v>
      </c>
      <c r="H56" s="248">
        <v>0</v>
      </c>
      <c r="I56" s="380">
        <f t="shared" si="2"/>
        <v>0</v>
      </c>
      <c r="J56" s="255" t="s">
        <v>139</v>
      </c>
      <c r="K56" s="517" t="s">
        <v>139</v>
      </c>
      <c r="L56" s="406" t="s">
        <v>139</v>
      </c>
      <c r="M56" s="411">
        <v>0</v>
      </c>
      <c r="N56" s="287" t="s">
        <v>139</v>
      </c>
      <c r="O56" s="308" t="str">
        <f>IF(OR(M56=0,N56="NA"),"NA",IFERROR(INDEX('Data - Reference'!$B$37:$B$50,MATCH('Unit Summary - Rent Roll'!$M56,INDEX('Data - Reference'!$B$37:$J$50,,MATCH('Unit Summary - Rent Roll'!$N56,'Data - Reference'!$B$37:$J$37,0)),-1),1),"NA"))</f>
        <v>NA</v>
      </c>
      <c r="P56" s="244" t="s">
        <v>85</v>
      </c>
      <c r="Q56" s="244" t="s">
        <v>85</v>
      </c>
      <c r="R56" s="193">
        <v>0</v>
      </c>
      <c r="S56" s="370">
        <f t="shared" si="3"/>
        <v>0</v>
      </c>
      <c r="T56" s="101">
        <f t="shared" si="4"/>
        <v>0</v>
      </c>
      <c r="U56" s="193">
        <v>0</v>
      </c>
      <c r="V56" s="370">
        <f t="shared" si="5"/>
        <v>0</v>
      </c>
      <c r="W56" s="101">
        <f t="shared" si="8"/>
        <v>0</v>
      </c>
      <c r="X56" s="72">
        <f>IFERROR(IF(INDEX(AC$14:AC$18,MATCH($E56,$AB$14:$AB$18,0))&lt;&gt;0,INDEX(AC$14:AC$18,MATCH($E56,$AB$14:$AB$18,0)),
IF($M56="Market",0,IF($L56="HUD FMR",INDEX('Data - Reference'!$B$31:$G$31,MATCH($E56,'Data - Reference'!$B$9:$G$9,0)),INDEX('Data - Reference'!$B$9:$G$31,MATCH($K56,'Data - Reference'!$B$9:$B$31,0),MATCH($E56,'Data - Reference'!$B$9:$G$9,0))))),0)</f>
        <v>0</v>
      </c>
      <c r="Y56" s="72">
        <f>IFERROR(IF(INDEX(AD$14:AD$18,MATCH($E56,$AB$14:$AB$18,0))&lt;&gt;0,INDEX(AD$14:AD$18,MATCH($E56,$AB$14:$AB$18,0)),
IF($K56="None - Market",0,-INDEX('Data - Reference'!$B$32:$G$32,MATCH($E56,'Data - Reference'!$B$9:$G$9,0)))),0)</f>
        <v>0</v>
      </c>
      <c r="Z56" s="76">
        <f t="shared" si="9"/>
        <v>0</v>
      </c>
      <c r="AA56" s="67">
        <f t="shared" si="6"/>
        <v>0</v>
      </c>
      <c r="AB56" s="101">
        <f t="shared" si="10"/>
        <v>0</v>
      </c>
      <c r="AC56" s="84">
        <f t="shared" si="11"/>
        <v>0</v>
      </c>
      <c r="AD56" s="86">
        <f t="shared" si="7"/>
        <v>0</v>
      </c>
      <c r="AE56" s="101">
        <f t="shared" si="12"/>
        <v>0</v>
      </c>
      <c r="AF56" s="424" t="str">
        <f t="shared" si="0"/>
        <v>NA</v>
      </c>
      <c r="AG56" s="429" t="str">
        <f t="shared" si="13"/>
        <v>NA</v>
      </c>
      <c r="AH56" s="429" t="str">
        <f t="shared" si="1"/>
        <v>NA</v>
      </c>
      <c r="AI56" s="426" t="str">
        <f t="shared" si="14"/>
        <v>NA</v>
      </c>
      <c r="AJ56" s="426" t="str">
        <f t="shared" si="15"/>
        <v>NA</v>
      </c>
      <c r="AK56" s="535" t="str">
        <f>IFERROR(INDEX('Current Tenant Policy-Reference'!Q:Q,MATCH('Unit Summary - Rent Roll'!AJ56,'Current Tenant Policy-Reference'!O:O,0)),"NA")</f>
        <v>NA</v>
      </c>
    </row>
    <row r="57" spans="2:37" ht="13.8" x14ac:dyDescent="0.3">
      <c r="B57" s="241">
        <v>31</v>
      </c>
      <c r="C57" s="600" t="s">
        <v>143</v>
      </c>
      <c r="D57" s="601"/>
      <c r="E57" s="190" t="s">
        <v>139</v>
      </c>
      <c r="F57" s="191">
        <v>0</v>
      </c>
      <c r="G57" s="244" t="s">
        <v>85</v>
      </c>
      <c r="H57" s="248">
        <v>0</v>
      </c>
      <c r="I57" s="380">
        <f t="shared" si="2"/>
        <v>0</v>
      </c>
      <c r="J57" s="255" t="s">
        <v>139</v>
      </c>
      <c r="K57" s="517" t="s">
        <v>139</v>
      </c>
      <c r="L57" s="406" t="s">
        <v>139</v>
      </c>
      <c r="M57" s="411">
        <v>0</v>
      </c>
      <c r="N57" s="287" t="s">
        <v>139</v>
      </c>
      <c r="O57" s="308" t="str">
        <f>IF(OR(M57=0,N57="NA"),"NA",IFERROR(INDEX('Data - Reference'!$B$37:$B$50,MATCH('Unit Summary - Rent Roll'!$M57,INDEX('Data - Reference'!$B$37:$J$50,,MATCH('Unit Summary - Rent Roll'!$N57,'Data - Reference'!$B$37:$J$37,0)),-1),1),"NA"))</f>
        <v>NA</v>
      </c>
      <c r="P57" s="244" t="s">
        <v>85</v>
      </c>
      <c r="Q57" s="244" t="s">
        <v>85</v>
      </c>
      <c r="R57" s="193">
        <v>0</v>
      </c>
      <c r="S57" s="370">
        <f t="shared" si="3"/>
        <v>0</v>
      </c>
      <c r="T57" s="101">
        <f t="shared" si="4"/>
        <v>0</v>
      </c>
      <c r="U57" s="193">
        <v>0</v>
      </c>
      <c r="V57" s="370">
        <f t="shared" si="5"/>
        <v>0</v>
      </c>
      <c r="W57" s="101">
        <f t="shared" si="8"/>
        <v>0</v>
      </c>
      <c r="X57" s="72">
        <f>IFERROR(IF(INDEX(AC$14:AC$18,MATCH($E57,$AB$14:$AB$18,0))&lt;&gt;0,INDEX(AC$14:AC$18,MATCH($E57,$AB$14:$AB$18,0)),
IF($M57="Market",0,IF($L57="HUD FMR",INDEX('Data - Reference'!$B$31:$G$31,MATCH($E57,'Data - Reference'!$B$9:$G$9,0)),INDEX('Data - Reference'!$B$9:$G$31,MATCH($K57,'Data - Reference'!$B$9:$B$31,0),MATCH($E57,'Data - Reference'!$B$9:$G$9,0))))),0)</f>
        <v>0</v>
      </c>
      <c r="Y57" s="72">
        <f>IFERROR(IF(INDEX(AD$14:AD$18,MATCH($E57,$AB$14:$AB$18,0))&lt;&gt;0,INDEX(AD$14:AD$18,MATCH($E57,$AB$14:$AB$18,0)),
IF($K57="None - Market",0,-INDEX('Data - Reference'!$B$32:$G$32,MATCH($E57,'Data - Reference'!$B$9:$G$9,0)))),0)</f>
        <v>0</v>
      </c>
      <c r="Z57" s="76">
        <f t="shared" si="9"/>
        <v>0</v>
      </c>
      <c r="AA57" s="67">
        <f t="shared" si="6"/>
        <v>0</v>
      </c>
      <c r="AB57" s="101">
        <f t="shared" si="10"/>
        <v>0</v>
      </c>
      <c r="AC57" s="84">
        <f t="shared" si="11"/>
        <v>0</v>
      </c>
      <c r="AD57" s="86">
        <f t="shared" si="7"/>
        <v>0</v>
      </c>
      <c r="AE57" s="101">
        <f t="shared" si="12"/>
        <v>0</v>
      </c>
      <c r="AF57" s="424" t="str">
        <f t="shared" si="0"/>
        <v>NA</v>
      </c>
      <c r="AG57" s="429" t="str">
        <f t="shared" si="13"/>
        <v>NA</v>
      </c>
      <c r="AH57" s="429" t="str">
        <f t="shared" si="1"/>
        <v>NA</v>
      </c>
      <c r="AI57" s="426" t="str">
        <f t="shared" si="14"/>
        <v>NA</v>
      </c>
      <c r="AJ57" s="426" t="str">
        <f t="shared" si="15"/>
        <v>NA</v>
      </c>
      <c r="AK57" s="535" t="str">
        <f>IFERROR(INDEX('Current Tenant Policy-Reference'!Q:Q,MATCH('Unit Summary - Rent Roll'!AJ57,'Current Tenant Policy-Reference'!O:O,0)),"NA")</f>
        <v>NA</v>
      </c>
    </row>
    <row r="58" spans="2:37" ht="13.8" x14ac:dyDescent="0.3">
      <c r="B58" s="241">
        <v>32</v>
      </c>
      <c r="C58" s="600" t="s">
        <v>143</v>
      </c>
      <c r="D58" s="601"/>
      <c r="E58" s="190" t="s">
        <v>139</v>
      </c>
      <c r="F58" s="191">
        <v>0</v>
      </c>
      <c r="G58" s="244" t="s">
        <v>85</v>
      </c>
      <c r="H58" s="248">
        <v>0</v>
      </c>
      <c r="I58" s="380">
        <f t="shared" si="2"/>
        <v>0</v>
      </c>
      <c r="J58" s="255" t="s">
        <v>139</v>
      </c>
      <c r="K58" s="517" t="s">
        <v>139</v>
      </c>
      <c r="L58" s="406" t="s">
        <v>139</v>
      </c>
      <c r="M58" s="411">
        <v>0</v>
      </c>
      <c r="N58" s="287" t="s">
        <v>139</v>
      </c>
      <c r="O58" s="308" t="str">
        <f>IF(OR(M58=0,N58="NA"),"NA",IFERROR(INDEX('Data - Reference'!$B$37:$B$50,MATCH('Unit Summary - Rent Roll'!$M58,INDEX('Data - Reference'!$B$37:$J$50,,MATCH('Unit Summary - Rent Roll'!$N58,'Data - Reference'!$B$37:$J$37,0)),-1),1),"NA"))</f>
        <v>NA</v>
      </c>
      <c r="P58" s="244" t="s">
        <v>85</v>
      </c>
      <c r="Q58" s="244" t="s">
        <v>85</v>
      </c>
      <c r="R58" s="193">
        <v>0</v>
      </c>
      <c r="S58" s="370">
        <f t="shared" si="3"/>
        <v>0</v>
      </c>
      <c r="T58" s="101">
        <f t="shared" si="4"/>
        <v>0</v>
      </c>
      <c r="U58" s="193">
        <v>0</v>
      </c>
      <c r="V58" s="370">
        <f t="shared" si="5"/>
        <v>0</v>
      </c>
      <c r="W58" s="101">
        <f t="shared" si="8"/>
        <v>0</v>
      </c>
      <c r="X58" s="72">
        <f>IFERROR(IF(INDEX(AC$14:AC$18,MATCH($E58,$AB$14:$AB$18,0))&lt;&gt;0,INDEX(AC$14:AC$18,MATCH($E58,$AB$14:$AB$18,0)),
IF($M58="Market",0,IF($L58="HUD FMR",INDEX('Data - Reference'!$B$31:$G$31,MATCH($E58,'Data - Reference'!$B$9:$G$9,0)),INDEX('Data - Reference'!$B$9:$G$31,MATCH($K58,'Data - Reference'!$B$9:$B$31,0),MATCH($E58,'Data - Reference'!$B$9:$G$9,0))))),0)</f>
        <v>0</v>
      </c>
      <c r="Y58" s="72">
        <f>IFERROR(IF(INDEX(AD$14:AD$18,MATCH($E58,$AB$14:$AB$18,0))&lt;&gt;0,INDEX(AD$14:AD$18,MATCH($E58,$AB$14:$AB$18,0)),
IF($K58="None - Market",0,-INDEX('Data - Reference'!$B$32:$G$32,MATCH($E58,'Data - Reference'!$B$9:$G$9,0)))),0)</f>
        <v>0</v>
      </c>
      <c r="Z58" s="76">
        <f t="shared" si="9"/>
        <v>0</v>
      </c>
      <c r="AA58" s="67">
        <f t="shared" si="6"/>
        <v>0</v>
      </c>
      <c r="AB58" s="101">
        <f t="shared" si="10"/>
        <v>0</v>
      </c>
      <c r="AC58" s="84">
        <f t="shared" si="11"/>
        <v>0</v>
      </c>
      <c r="AD58" s="86">
        <f t="shared" si="7"/>
        <v>0</v>
      </c>
      <c r="AE58" s="101">
        <f t="shared" si="12"/>
        <v>0</v>
      </c>
      <c r="AF58" s="424" t="str">
        <f t="shared" si="0"/>
        <v>NA</v>
      </c>
      <c r="AG58" s="429" t="str">
        <f t="shared" si="13"/>
        <v>NA</v>
      </c>
      <c r="AH58" s="429" t="str">
        <f t="shared" si="1"/>
        <v>NA</v>
      </c>
      <c r="AI58" s="426" t="str">
        <f t="shared" si="14"/>
        <v>NA</v>
      </c>
      <c r="AJ58" s="426" t="str">
        <f t="shared" si="15"/>
        <v>NA</v>
      </c>
      <c r="AK58" s="535" t="str">
        <f>IFERROR(INDEX('Current Tenant Policy-Reference'!Q:Q,MATCH('Unit Summary - Rent Roll'!AJ58,'Current Tenant Policy-Reference'!O:O,0)),"NA")</f>
        <v>NA</v>
      </c>
    </row>
    <row r="59" spans="2:37" ht="13.8" x14ac:dyDescent="0.3">
      <c r="B59" s="241">
        <v>33</v>
      </c>
      <c r="C59" s="600" t="s">
        <v>143</v>
      </c>
      <c r="D59" s="601"/>
      <c r="E59" s="190" t="s">
        <v>139</v>
      </c>
      <c r="F59" s="191">
        <v>0</v>
      </c>
      <c r="G59" s="244" t="s">
        <v>85</v>
      </c>
      <c r="H59" s="248">
        <v>0</v>
      </c>
      <c r="I59" s="380">
        <f t="shared" ref="I59:I90" si="16">F59*H59</f>
        <v>0</v>
      </c>
      <c r="J59" s="255" t="s">
        <v>139</v>
      </c>
      <c r="K59" s="517" t="s">
        <v>139</v>
      </c>
      <c r="L59" s="406" t="s">
        <v>139</v>
      </c>
      <c r="M59" s="411">
        <v>0</v>
      </c>
      <c r="N59" s="287" t="s">
        <v>139</v>
      </c>
      <c r="O59" s="308" t="str">
        <f>IF(OR(M59=0,N59="NA"),"NA",IFERROR(INDEX('Data - Reference'!$B$37:$B$50,MATCH('Unit Summary - Rent Roll'!$M59,INDEX('Data - Reference'!$B$37:$J$50,,MATCH('Unit Summary - Rent Roll'!$N59,'Data - Reference'!$B$37:$J$37,0)),-1),1),"NA"))</f>
        <v>NA</v>
      </c>
      <c r="P59" s="244" t="s">
        <v>85</v>
      </c>
      <c r="Q59" s="244" t="s">
        <v>85</v>
      </c>
      <c r="R59" s="193">
        <v>0</v>
      </c>
      <c r="S59" s="370">
        <f t="shared" ref="S59:S90" si="17">IFERROR(R59/$F59,0)</f>
        <v>0</v>
      </c>
      <c r="T59" s="101">
        <f t="shared" ref="T59:T90" si="18">IF(G59="Y",R59*$H59*12,0)</f>
        <v>0</v>
      </c>
      <c r="U59" s="193">
        <v>0</v>
      </c>
      <c r="V59" s="370">
        <f t="shared" ref="V59:V90" si="19">IFERROR(U59/$F59,0)</f>
        <v>0</v>
      </c>
      <c r="W59" s="101">
        <f t="shared" si="8"/>
        <v>0</v>
      </c>
      <c r="X59" s="72">
        <f>IFERROR(IF(INDEX(AC$14:AC$18,MATCH($E59,$AB$14:$AB$18,0))&lt;&gt;0,INDEX(AC$14:AC$18,MATCH($E59,$AB$14:$AB$18,0)),
IF($M59="Market",0,IF($L59="HUD FMR",INDEX('Data - Reference'!$B$31:$G$31,MATCH($E59,'Data - Reference'!$B$9:$G$9,0)),INDEX('Data - Reference'!$B$9:$G$31,MATCH($K59,'Data - Reference'!$B$9:$B$31,0),MATCH($E59,'Data - Reference'!$B$9:$G$9,0))))),0)</f>
        <v>0</v>
      </c>
      <c r="Y59" s="72">
        <f>IFERROR(IF(INDEX(AD$14:AD$18,MATCH($E59,$AB$14:$AB$18,0))&lt;&gt;0,INDEX(AD$14:AD$18,MATCH($E59,$AB$14:$AB$18,0)),
IF($K59="None - Market",0,-INDEX('Data - Reference'!$B$32:$G$32,MATCH($E59,'Data - Reference'!$B$9:$G$9,0)))),0)</f>
        <v>0</v>
      </c>
      <c r="Z59" s="76">
        <f t="shared" ref="Z59:Z90" si="20">SUM(X59:Y59)</f>
        <v>0</v>
      </c>
      <c r="AA59" s="67">
        <f t="shared" ref="AA59:AA90" si="21">IFERROR(Z59/$F59,0)</f>
        <v>0</v>
      </c>
      <c r="AB59" s="101">
        <f t="shared" si="10"/>
        <v>0</v>
      </c>
      <c r="AC59" s="84">
        <f t="shared" si="11"/>
        <v>0</v>
      </c>
      <c r="AD59" s="86">
        <f t="shared" ref="AD59:AD90" si="22">IFERROR(AC59/$F59,0)</f>
        <v>0</v>
      </c>
      <c r="AE59" s="101">
        <f t="shared" si="12"/>
        <v>0</v>
      </c>
      <c r="AF59" s="424" t="str">
        <f t="shared" si="0"/>
        <v>NA</v>
      </c>
      <c r="AG59" s="429" t="str">
        <f t="shared" si="13"/>
        <v>NA</v>
      </c>
      <c r="AH59" s="429" t="str">
        <f t="shared" si="1"/>
        <v>NA</v>
      </c>
      <c r="AI59" s="426" t="str">
        <f t="shared" si="14"/>
        <v>NA</v>
      </c>
      <c r="AJ59" s="426" t="str">
        <f t="shared" si="15"/>
        <v>NA</v>
      </c>
      <c r="AK59" s="535" t="str">
        <f>IFERROR(INDEX('Current Tenant Policy-Reference'!Q:Q,MATCH('Unit Summary - Rent Roll'!AJ59,'Current Tenant Policy-Reference'!O:O,0)),"NA")</f>
        <v>NA</v>
      </c>
    </row>
    <row r="60" spans="2:37" ht="13.8" x14ac:dyDescent="0.3">
      <c r="B60" s="241">
        <v>34</v>
      </c>
      <c r="C60" s="600" t="s">
        <v>143</v>
      </c>
      <c r="D60" s="601"/>
      <c r="E60" s="190" t="s">
        <v>139</v>
      </c>
      <c r="F60" s="191">
        <v>0</v>
      </c>
      <c r="G60" s="244" t="s">
        <v>85</v>
      </c>
      <c r="H60" s="248">
        <v>0</v>
      </c>
      <c r="I60" s="380">
        <f t="shared" si="16"/>
        <v>0</v>
      </c>
      <c r="J60" s="255" t="s">
        <v>139</v>
      </c>
      <c r="K60" s="517" t="s">
        <v>139</v>
      </c>
      <c r="L60" s="406" t="s">
        <v>139</v>
      </c>
      <c r="M60" s="411">
        <v>0</v>
      </c>
      <c r="N60" s="287" t="s">
        <v>139</v>
      </c>
      <c r="O60" s="308" t="str">
        <f>IF(OR(M60=0,N60="NA"),"NA",IFERROR(INDEX('Data - Reference'!$B$37:$B$50,MATCH('Unit Summary - Rent Roll'!$M60,INDEX('Data - Reference'!$B$37:$J$50,,MATCH('Unit Summary - Rent Roll'!$N60,'Data - Reference'!$B$37:$J$37,0)),-1),1),"NA"))</f>
        <v>NA</v>
      </c>
      <c r="P60" s="244" t="s">
        <v>85</v>
      </c>
      <c r="Q60" s="244" t="s">
        <v>85</v>
      </c>
      <c r="R60" s="193">
        <v>0</v>
      </c>
      <c r="S60" s="370">
        <f t="shared" si="17"/>
        <v>0</v>
      </c>
      <c r="T60" s="101">
        <f t="shared" si="18"/>
        <v>0</v>
      </c>
      <c r="U60" s="193">
        <v>0</v>
      </c>
      <c r="V60" s="370">
        <f t="shared" si="19"/>
        <v>0</v>
      </c>
      <c r="W60" s="101">
        <f t="shared" si="8"/>
        <v>0</v>
      </c>
      <c r="X60" s="72">
        <f>IFERROR(IF(INDEX(AC$14:AC$18,MATCH($E60,$AB$14:$AB$18,0))&lt;&gt;0,INDEX(AC$14:AC$18,MATCH($E60,$AB$14:$AB$18,0)),
IF($M60="Market",0,IF($L60="HUD FMR",INDEX('Data - Reference'!$B$31:$G$31,MATCH($E60,'Data - Reference'!$B$9:$G$9,0)),INDEX('Data - Reference'!$B$9:$G$31,MATCH($K60,'Data - Reference'!$B$9:$B$31,0),MATCH($E60,'Data - Reference'!$B$9:$G$9,0))))),0)</f>
        <v>0</v>
      </c>
      <c r="Y60" s="72">
        <f>IFERROR(IF(INDEX(AD$14:AD$18,MATCH($E60,$AB$14:$AB$18,0))&lt;&gt;0,INDEX(AD$14:AD$18,MATCH($E60,$AB$14:$AB$18,0)),
IF($K60="None - Market",0,-INDEX('Data - Reference'!$B$32:$G$32,MATCH($E60,'Data - Reference'!$B$9:$G$9,0)))),0)</f>
        <v>0</v>
      </c>
      <c r="Z60" s="76">
        <f t="shared" si="20"/>
        <v>0</v>
      </c>
      <c r="AA60" s="67">
        <f t="shared" si="21"/>
        <v>0</v>
      </c>
      <c r="AB60" s="101">
        <f t="shared" si="10"/>
        <v>0</v>
      </c>
      <c r="AC60" s="84">
        <f t="shared" si="11"/>
        <v>0</v>
      </c>
      <c r="AD60" s="86">
        <f t="shared" si="22"/>
        <v>0</v>
      </c>
      <c r="AE60" s="101">
        <f t="shared" si="12"/>
        <v>0</v>
      </c>
      <c r="AF60" s="424" t="str">
        <f t="shared" si="0"/>
        <v>NA</v>
      </c>
      <c r="AG60" s="429" t="str">
        <f t="shared" si="13"/>
        <v>NA</v>
      </c>
      <c r="AH60" s="429" t="str">
        <f t="shared" si="1"/>
        <v>NA</v>
      </c>
      <c r="AI60" s="426" t="str">
        <f t="shared" si="14"/>
        <v>NA</v>
      </c>
      <c r="AJ60" s="426" t="str">
        <f t="shared" si="15"/>
        <v>NA</v>
      </c>
      <c r="AK60" s="535" t="str">
        <f>IFERROR(INDEX('Current Tenant Policy-Reference'!Q:Q,MATCH('Unit Summary - Rent Roll'!AJ60,'Current Tenant Policy-Reference'!O:O,0)),"NA")</f>
        <v>NA</v>
      </c>
    </row>
    <row r="61" spans="2:37" ht="13.8" x14ac:dyDescent="0.3">
      <c r="B61" s="241">
        <v>35</v>
      </c>
      <c r="C61" s="600" t="s">
        <v>143</v>
      </c>
      <c r="D61" s="601"/>
      <c r="E61" s="190" t="s">
        <v>139</v>
      </c>
      <c r="F61" s="191">
        <v>0</v>
      </c>
      <c r="G61" s="244" t="s">
        <v>85</v>
      </c>
      <c r="H61" s="248">
        <v>0</v>
      </c>
      <c r="I61" s="380">
        <f t="shared" si="16"/>
        <v>0</v>
      </c>
      <c r="J61" s="255" t="s">
        <v>139</v>
      </c>
      <c r="K61" s="517" t="s">
        <v>139</v>
      </c>
      <c r="L61" s="406" t="s">
        <v>139</v>
      </c>
      <c r="M61" s="411">
        <v>0</v>
      </c>
      <c r="N61" s="287" t="s">
        <v>139</v>
      </c>
      <c r="O61" s="308" t="str">
        <f>IF(OR(M61=0,N61="NA"),"NA",IFERROR(INDEX('Data - Reference'!$B$37:$B$50,MATCH('Unit Summary - Rent Roll'!$M61,INDEX('Data - Reference'!$B$37:$J$50,,MATCH('Unit Summary - Rent Roll'!$N61,'Data - Reference'!$B$37:$J$37,0)),-1),1),"NA"))</f>
        <v>NA</v>
      </c>
      <c r="P61" s="244" t="s">
        <v>85</v>
      </c>
      <c r="Q61" s="244" t="s">
        <v>85</v>
      </c>
      <c r="R61" s="193">
        <v>0</v>
      </c>
      <c r="S61" s="370">
        <f t="shared" si="17"/>
        <v>0</v>
      </c>
      <c r="T61" s="101">
        <f t="shared" si="18"/>
        <v>0</v>
      </c>
      <c r="U61" s="193">
        <v>0</v>
      </c>
      <c r="V61" s="370">
        <f t="shared" si="19"/>
        <v>0</v>
      </c>
      <c r="W61" s="101">
        <f t="shared" si="8"/>
        <v>0</v>
      </c>
      <c r="X61" s="72">
        <f>IFERROR(IF(INDEX(AC$14:AC$18,MATCH($E61,$AB$14:$AB$18,0))&lt;&gt;0,INDEX(AC$14:AC$18,MATCH($E61,$AB$14:$AB$18,0)),
IF($M61="Market",0,IF($L61="HUD FMR",INDEX('Data - Reference'!$B$31:$G$31,MATCH($E61,'Data - Reference'!$B$9:$G$9,0)),INDEX('Data - Reference'!$B$9:$G$31,MATCH($K61,'Data - Reference'!$B$9:$B$31,0),MATCH($E61,'Data - Reference'!$B$9:$G$9,0))))),0)</f>
        <v>0</v>
      </c>
      <c r="Y61" s="72">
        <f>IFERROR(IF(INDEX(AD$14:AD$18,MATCH($E61,$AB$14:$AB$18,0))&lt;&gt;0,INDEX(AD$14:AD$18,MATCH($E61,$AB$14:$AB$18,0)),
IF($K61="None - Market",0,-INDEX('Data - Reference'!$B$32:$G$32,MATCH($E61,'Data - Reference'!$B$9:$G$9,0)))),0)</f>
        <v>0</v>
      </c>
      <c r="Z61" s="76">
        <f t="shared" si="20"/>
        <v>0</v>
      </c>
      <c r="AA61" s="67">
        <f t="shared" si="21"/>
        <v>0</v>
      </c>
      <c r="AB61" s="101">
        <f t="shared" si="10"/>
        <v>0</v>
      </c>
      <c r="AC61" s="84">
        <f t="shared" si="11"/>
        <v>0</v>
      </c>
      <c r="AD61" s="86">
        <f t="shared" si="22"/>
        <v>0</v>
      </c>
      <c r="AE61" s="101">
        <f t="shared" si="12"/>
        <v>0</v>
      </c>
      <c r="AF61" s="424" t="str">
        <f t="shared" si="0"/>
        <v>NA</v>
      </c>
      <c r="AG61" s="429" t="str">
        <f t="shared" si="13"/>
        <v>NA</v>
      </c>
      <c r="AH61" s="429" t="str">
        <f t="shared" si="1"/>
        <v>NA</v>
      </c>
      <c r="AI61" s="426" t="str">
        <f t="shared" si="14"/>
        <v>NA</v>
      </c>
      <c r="AJ61" s="426" t="str">
        <f t="shared" si="15"/>
        <v>NA</v>
      </c>
      <c r="AK61" s="535" t="str">
        <f>IFERROR(INDEX('Current Tenant Policy-Reference'!Q:Q,MATCH('Unit Summary - Rent Roll'!AJ61,'Current Tenant Policy-Reference'!O:O,0)),"NA")</f>
        <v>NA</v>
      </c>
    </row>
    <row r="62" spans="2:37" ht="13.8" x14ac:dyDescent="0.3">
      <c r="B62" s="241">
        <v>36</v>
      </c>
      <c r="C62" s="600" t="s">
        <v>143</v>
      </c>
      <c r="D62" s="601"/>
      <c r="E62" s="190" t="s">
        <v>139</v>
      </c>
      <c r="F62" s="191">
        <v>0</v>
      </c>
      <c r="G62" s="244" t="s">
        <v>85</v>
      </c>
      <c r="H62" s="248">
        <v>0</v>
      </c>
      <c r="I62" s="380">
        <f t="shared" si="16"/>
        <v>0</v>
      </c>
      <c r="J62" s="255" t="s">
        <v>139</v>
      </c>
      <c r="K62" s="517" t="s">
        <v>139</v>
      </c>
      <c r="L62" s="406" t="s">
        <v>139</v>
      </c>
      <c r="M62" s="411">
        <v>0</v>
      </c>
      <c r="N62" s="287" t="s">
        <v>139</v>
      </c>
      <c r="O62" s="308" t="str">
        <f>IF(OR(M62=0,N62="NA"),"NA",IFERROR(INDEX('Data - Reference'!$B$37:$B$50,MATCH('Unit Summary - Rent Roll'!$M62,INDEX('Data - Reference'!$B$37:$J$50,,MATCH('Unit Summary - Rent Roll'!$N62,'Data - Reference'!$B$37:$J$37,0)),-1),1),"NA"))</f>
        <v>NA</v>
      </c>
      <c r="P62" s="244" t="s">
        <v>85</v>
      </c>
      <c r="Q62" s="244" t="s">
        <v>85</v>
      </c>
      <c r="R62" s="193">
        <v>0</v>
      </c>
      <c r="S62" s="370">
        <f t="shared" si="17"/>
        <v>0</v>
      </c>
      <c r="T62" s="101">
        <f t="shared" si="18"/>
        <v>0</v>
      </c>
      <c r="U62" s="193">
        <v>0</v>
      </c>
      <c r="V62" s="370">
        <f t="shared" si="19"/>
        <v>0</v>
      </c>
      <c r="W62" s="101">
        <f t="shared" si="8"/>
        <v>0</v>
      </c>
      <c r="X62" s="72">
        <f>IFERROR(IF(INDEX(AC$14:AC$18,MATCH($E62,$AB$14:$AB$18,0))&lt;&gt;0,INDEX(AC$14:AC$18,MATCH($E62,$AB$14:$AB$18,0)),
IF($M62="Market",0,IF($L62="HUD FMR",INDEX('Data - Reference'!$B$31:$G$31,MATCH($E62,'Data - Reference'!$B$9:$G$9,0)),INDEX('Data - Reference'!$B$9:$G$31,MATCH($K62,'Data - Reference'!$B$9:$B$31,0),MATCH($E62,'Data - Reference'!$B$9:$G$9,0))))),0)</f>
        <v>0</v>
      </c>
      <c r="Y62" s="72">
        <f>IFERROR(IF(INDEX(AD$14:AD$18,MATCH($E62,$AB$14:$AB$18,0))&lt;&gt;0,INDEX(AD$14:AD$18,MATCH($E62,$AB$14:$AB$18,0)),
IF($K62="None - Market",0,-INDEX('Data - Reference'!$B$32:$G$32,MATCH($E62,'Data - Reference'!$B$9:$G$9,0)))),0)</f>
        <v>0</v>
      </c>
      <c r="Z62" s="76">
        <f t="shared" si="20"/>
        <v>0</v>
      </c>
      <c r="AA62" s="67">
        <f t="shared" si="21"/>
        <v>0</v>
      </c>
      <c r="AB62" s="101">
        <f t="shared" si="10"/>
        <v>0</v>
      </c>
      <c r="AC62" s="84">
        <f t="shared" si="11"/>
        <v>0</v>
      </c>
      <c r="AD62" s="86">
        <f t="shared" si="22"/>
        <v>0</v>
      </c>
      <c r="AE62" s="101">
        <f t="shared" si="12"/>
        <v>0</v>
      </c>
      <c r="AF62" s="424" t="str">
        <f t="shared" si="0"/>
        <v>NA</v>
      </c>
      <c r="AG62" s="429" t="str">
        <f t="shared" si="13"/>
        <v>NA</v>
      </c>
      <c r="AH62" s="429" t="str">
        <f t="shared" si="1"/>
        <v>NA</v>
      </c>
      <c r="AI62" s="426" t="str">
        <f t="shared" si="14"/>
        <v>NA</v>
      </c>
      <c r="AJ62" s="426" t="str">
        <f t="shared" si="15"/>
        <v>NA</v>
      </c>
      <c r="AK62" s="535" t="str">
        <f>IFERROR(INDEX('Current Tenant Policy-Reference'!Q:Q,MATCH('Unit Summary - Rent Roll'!AJ62,'Current Tenant Policy-Reference'!O:O,0)),"NA")</f>
        <v>NA</v>
      </c>
    </row>
    <row r="63" spans="2:37" ht="13.8" x14ac:dyDescent="0.3">
      <c r="B63" s="241">
        <v>37</v>
      </c>
      <c r="C63" s="600" t="s">
        <v>143</v>
      </c>
      <c r="D63" s="601"/>
      <c r="E63" s="190" t="s">
        <v>139</v>
      </c>
      <c r="F63" s="191">
        <v>0</v>
      </c>
      <c r="G63" s="244" t="s">
        <v>85</v>
      </c>
      <c r="H63" s="248">
        <v>0</v>
      </c>
      <c r="I63" s="380">
        <f t="shared" si="16"/>
        <v>0</v>
      </c>
      <c r="J63" s="255" t="s">
        <v>139</v>
      </c>
      <c r="K63" s="517" t="s">
        <v>139</v>
      </c>
      <c r="L63" s="406" t="s">
        <v>139</v>
      </c>
      <c r="M63" s="411">
        <v>0</v>
      </c>
      <c r="N63" s="287" t="s">
        <v>139</v>
      </c>
      <c r="O63" s="308" t="str">
        <f>IF(OR(M63=0,N63="NA"),"NA",IFERROR(INDEX('Data - Reference'!$B$37:$B$50,MATCH('Unit Summary - Rent Roll'!$M63,INDEX('Data - Reference'!$B$37:$J$50,,MATCH('Unit Summary - Rent Roll'!$N63,'Data - Reference'!$B$37:$J$37,0)),-1),1),"NA"))</f>
        <v>NA</v>
      </c>
      <c r="P63" s="244" t="s">
        <v>85</v>
      </c>
      <c r="Q63" s="244" t="s">
        <v>85</v>
      </c>
      <c r="R63" s="193">
        <v>0</v>
      </c>
      <c r="S63" s="370">
        <f t="shared" si="17"/>
        <v>0</v>
      </c>
      <c r="T63" s="101">
        <f t="shared" si="18"/>
        <v>0</v>
      </c>
      <c r="U63" s="193">
        <v>0</v>
      </c>
      <c r="V63" s="370">
        <f t="shared" si="19"/>
        <v>0</v>
      </c>
      <c r="W63" s="101">
        <f t="shared" si="8"/>
        <v>0</v>
      </c>
      <c r="X63" s="72">
        <f>IFERROR(IF(INDEX(AC$14:AC$18,MATCH($E63,$AB$14:$AB$18,0))&lt;&gt;0,INDEX(AC$14:AC$18,MATCH($E63,$AB$14:$AB$18,0)),
IF($M63="Market",0,IF($L63="HUD FMR",INDEX('Data - Reference'!$B$31:$G$31,MATCH($E63,'Data - Reference'!$B$9:$G$9,0)),INDEX('Data - Reference'!$B$9:$G$31,MATCH($K63,'Data - Reference'!$B$9:$B$31,0),MATCH($E63,'Data - Reference'!$B$9:$G$9,0))))),0)</f>
        <v>0</v>
      </c>
      <c r="Y63" s="72">
        <f>IFERROR(IF(INDEX(AD$14:AD$18,MATCH($E63,$AB$14:$AB$18,0))&lt;&gt;0,INDEX(AD$14:AD$18,MATCH($E63,$AB$14:$AB$18,0)),
IF($K63="None - Market",0,-INDEX('Data - Reference'!$B$32:$G$32,MATCH($E63,'Data - Reference'!$B$9:$G$9,0)))),0)</f>
        <v>0</v>
      </c>
      <c r="Z63" s="76">
        <f t="shared" si="20"/>
        <v>0</v>
      </c>
      <c r="AA63" s="67">
        <f t="shared" si="21"/>
        <v>0</v>
      </c>
      <c r="AB63" s="101">
        <f t="shared" si="10"/>
        <v>0</v>
      </c>
      <c r="AC63" s="84">
        <f t="shared" si="11"/>
        <v>0</v>
      </c>
      <c r="AD63" s="86">
        <f t="shared" si="22"/>
        <v>0</v>
      </c>
      <c r="AE63" s="101">
        <f t="shared" si="12"/>
        <v>0</v>
      </c>
      <c r="AF63" s="424" t="str">
        <f t="shared" si="0"/>
        <v>NA</v>
      </c>
      <c r="AG63" s="429" t="str">
        <f t="shared" si="13"/>
        <v>NA</v>
      </c>
      <c r="AH63" s="429" t="str">
        <f t="shared" si="1"/>
        <v>NA</v>
      </c>
      <c r="AI63" s="426" t="str">
        <f t="shared" si="14"/>
        <v>NA</v>
      </c>
      <c r="AJ63" s="426" t="str">
        <f t="shared" si="15"/>
        <v>NA</v>
      </c>
      <c r="AK63" s="535" t="str">
        <f>IFERROR(INDEX('Current Tenant Policy-Reference'!Q:Q,MATCH('Unit Summary - Rent Roll'!AJ63,'Current Tenant Policy-Reference'!O:O,0)),"NA")</f>
        <v>NA</v>
      </c>
    </row>
    <row r="64" spans="2:37" ht="13.8" x14ac:dyDescent="0.3">
      <c r="B64" s="241">
        <v>38</v>
      </c>
      <c r="C64" s="600" t="s">
        <v>143</v>
      </c>
      <c r="D64" s="601"/>
      <c r="E64" s="190" t="s">
        <v>139</v>
      </c>
      <c r="F64" s="191">
        <v>0</v>
      </c>
      <c r="G64" s="244" t="s">
        <v>85</v>
      </c>
      <c r="H64" s="248">
        <v>0</v>
      </c>
      <c r="I64" s="380">
        <f t="shared" si="16"/>
        <v>0</v>
      </c>
      <c r="J64" s="255" t="s">
        <v>139</v>
      </c>
      <c r="K64" s="517" t="s">
        <v>139</v>
      </c>
      <c r="L64" s="406" t="s">
        <v>139</v>
      </c>
      <c r="M64" s="411">
        <v>0</v>
      </c>
      <c r="N64" s="287" t="s">
        <v>139</v>
      </c>
      <c r="O64" s="308" t="str">
        <f>IF(OR(M64=0,N64="NA"),"NA",IFERROR(INDEX('Data - Reference'!$B$37:$B$50,MATCH('Unit Summary - Rent Roll'!$M64,INDEX('Data - Reference'!$B$37:$J$50,,MATCH('Unit Summary - Rent Roll'!$N64,'Data - Reference'!$B$37:$J$37,0)),-1),1),"NA"))</f>
        <v>NA</v>
      </c>
      <c r="P64" s="244" t="s">
        <v>85</v>
      </c>
      <c r="Q64" s="244" t="s">
        <v>85</v>
      </c>
      <c r="R64" s="193">
        <v>0</v>
      </c>
      <c r="S64" s="370">
        <f t="shared" si="17"/>
        <v>0</v>
      </c>
      <c r="T64" s="101">
        <f t="shared" si="18"/>
        <v>0</v>
      </c>
      <c r="U64" s="193">
        <v>0</v>
      </c>
      <c r="V64" s="370">
        <f t="shared" si="19"/>
        <v>0</v>
      </c>
      <c r="W64" s="101">
        <f t="shared" si="8"/>
        <v>0</v>
      </c>
      <c r="X64" s="72">
        <f>IFERROR(IF(INDEX(AC$14:AC$18,MATCH($E64,$AB$14:$AB$18,0))&lt;&gt;0,INDEX(AC$14:AC$18,MATCH($E64,$AB$14:$AB$18,0)),
IF($M64="Market",0,IF($L64="HUD FMR",INDEX('Data - Reference'!$B$31:$G$31,MATCH($E64,'Data - Reference'!$B$9:$G$9,0)),INDEX('Data - Reference'!$B$9:$G$31,MATCH($K64,'Data - Reference'!$B$9:$B$31,0),MATCH($E64,'Data - Reference'!$B$9:$G$9,0))))),0)</f>
        <v>0</v>
      </c>
      <c r="Y64" s="72">
        <f>IFERROR(IF(INDEX(AD$14:AD$18,MATCH($E64,$AB$14:$AB$18,0))&lt;&gt;0,INDEX(AD$14:AD$18,MATCH($E64,$AB$14:$AB$18,0)),
IF($K64="None - Market",0,-INDEX('Data - Reference'!$B$32:$G$32,MATCH($E64,'Data - Reference'!$B$9:$G$9,0)))),0)</f>
        <v>0</v>
      </c>
      <c r="Z64" s="76">
        <f t="shared" si="20"/>
        <v>0</v>
      </c>
      <c r="AA64" s="67">
        <f t="shared" si="21"/>
        <v>0</v>
      </c>
      <c r="AB64" s="101">
        <f t="shared" si="10"/>
        <v>0</v>
      </c>
      <c r="AC64" s="84">
        <f t="shared" si="11"/>
        <v>0</v>
      </c>
      <c r="AD64" s="86">
        <f t="shared" si="22"/>
        <v>0</v>
      </c>
      <c r="AE64" s="101">
        <f t="shared" si="12"/>
        <v>0</v>
      </c>
      <c r="AF64" s="424" t="str">
        <f t="shared" si="0"/>
        <v>NA</v>
      </c>
      <c r="AG64" s="429" t="str">
        <f t="shared" si="13"/>
        <v>NA</v>
      </c>
      <c r="AH64" s="429" t="str">
        <f t="shared" si="1"/>
        <v>NA</v>
      </c>
      <c r="AI64" s="426" t="str">
        <f t="shared" si="14"/>
        <v>NA</v>
      </c>
      <c r="AJ64" s="426" t="str">
        <f t="shared" si="15"/>
        <v>NA</v>
      </c>
      <c r="AK64" s="535" t="str">
        <f>IFERROR(INDEX('Current Tenant Policy-Reference'!Q:Q,MATCH('Unit Summary - Rent Roll'!AJ64,'Current Tenant Policy-Reference'!O:O,0)),"NA")</f>
        <v>NA</v>
      </c>
    </row>
    <row r="65" spans="2:37" ht="13.8" x14ac:dyDescent="0.3">
      <c r="B65" s="241">
        <v>39</v>
      </c>
      <c r="C65" s="600" t="s">
        <v>143</v>
      </c>
      <c r="D65" s="601"/>
      <c r="E65" s="190" t="s">
        <v>139</v>
      </c>
      <c r="F65" s="191">
        <v>0</v>
      </c>
      <c r="G65" s="244" t="s">
        <v>85</v>
      </c>
      <c r="H65" s="248">
        <v>0</v>
      </c>
      <c r="I65" s="380">
        <f t="shared" si="16"/>
        <v>0</v>
      </c>
      <c r="J65" s="255" t="s">
        <v>139</v>
      </c>
      <c r="K65" s="517" t="s">
        <v>139</v>
      </c>
      <c r="L65" s="406" t="s">
        <v>139</v>
      </c>
      <c r="M65" s="411">
        <v>0</v>
      </c>
      <c r="N65" s="287" t="s">
        <v>139</v>
      </c>
      <c r="O65" s="308" t="str">
        <f>IF(OR(M65=0,N65="NA"),"NA",IFERROR(INDEX('Data - Reference'!$B$37:$B$50,MATCH('Unit Summary - Rent Roll'!$M65,INDEX('Data - Reference'!$B$37:$J$50,,MATCH('Unit Summary - Rent Roll'!$N65,'Data - Reference'!$B$37:$J$37,0)),-1),1),"NA"))</f>
        <v>NA</v>
      </c>
      <c r="P65" s="244" t="s">
        <v>85</v>
      </c>
      <c r="Q65" s="244" t="s">
        <v>85</v>
      </c>
      <c r="R65" s="193">
        <v>0</v>
      </c>
      <c r="S65" s="370">
        <f t="shared" si="17"/>
        <v>0</v>
      </c>
      <c r="T65" s="101">
        <f t="shared" si="18"/>
        <v>0</v>
      </c>
      <c r="U65" s="193">
        <v>0</v>
      </c>
      <c r="V65" s="370">
        <f t="shared" si="19"/>
        <v>0</v>
      </c>
      <c r="W65" s="101">
        <f t="shared" si="8"/>
        <v>0</v>
      </c>
      <c r="X65" s="72">
        <f>IFERROR(IF(INDEX(AC$14:AC$18,MATCH($E65,$AB$14:$AB$18,0))&lt;&gt;0,INDEX(AC$14:AC$18,MATCH($E65,$AB$14:$AB$18,0)),
IF($M65="Market",0,IF($L65="HUD FMR",INDEX('Data - Reference'!$B$31:$G$31,MATCH($E65,'Data - Reference'!$B$9:$G$9,0)),INDEX('Data - Reference'!$B$9:$G$31,MATCH($K65,'Data - Reference'!$B$9:$B$31,0),MATCH($E65,'Data - Reference'!$B$9:$G$9,0))))),0)</f>
        <v>0</v>
      </c>
      <c r="Y65" s="72">
        <f>IFERROR(IF(INDEX(AD$14:AD$18,MATCH($E65,$AB$14:$AB$18,0))&lt;&gt;0,INDEX(AD$14:AD$18,MATCH($E65,$AB$14:$AB$18,0)),
IF($K65="None - Market",0,-INDEX('Data - Reference'!$B$32:$G$32,MATCH($E65,'Data - Reference'!$B$9:$G$9,0)))),0)</f>
        <v>0</v>
      </c>
      <c r="Z65" s="76">
        <f t="shared" si="20"/>
        <v>0</v>
      </c>
      <c r="AA65" s="67">
        <f t="shared" si="21"/>
        <v>0</v>
      </c>
      <c r="AB65" s="101">
        <f t="shared" si="10"/>
        <v>0</v>
      </c>
      <c r="AC65" s="84">
        <f t="shared" si="11"/>
        <v>0</v>
      </c>
      <c r="AD65" s="86">
        <f t="shared" si="22"/>
        <v>0</v>
      </c>
      <c r="AE65" s="101">
        <f t="shared" si="12"/>
        <v>0</v>
      </c>
      <c r="AF65" s="424" t="str">
        <f t="shared" si="0"/>
        <v>NA</v>
      </c>
      <c r="AG65" s="429" t="str">
        <f t="shared" si="13"/>
        <v>NA</v>
      </c>
      <c r="AH65" s="429" t="str">
        <f t="shared" si="1"/>
        <v>NA</v>
      </c>
      <c r="AI65" s="426" t="str">
        <f t="shared" si="14"/>
        <v>NA</v>
      </c>
      <c r="AJ65" s="426" t="str">
        <f t="shared" si="15"/>
        <v>NA</v>
      </c>
      <c r="AK65" s="535" t="str">
        <f>IFERROR(INDEX('Current Tenant Policy-Reference'!Q:Q,MATCH('Unit Summary - Rent Roll'!AJ65,'Current Tenant Policy-Reference'!O:O,0)),"NA")</f>
        <v>NA</v>
      </c>
    </row>
    <row r="66" spans="2:37" ht="13.8" x14ac:dyDescent="0.3">
      <c r="B66" s="241">
        <v>40</v>
      </c>
      <c r="C66" s="600" t="s">
        <v>143</v>
      </c>
      <c r="D66" s="601"/>
      <c r="E66" s="190" t="s">
        <v>139</v>
      </c>
      <c r="F66" s="191">
        <v>0</v>
      </c>
      <c r="G66" s="244" t="s">
        <v>85</v>
      </c>
      <c r="H66" s="248">
        <v>0</v>
      </c>
      <c r="I66" s="380">
        <f t="shared" si="16"/>
        <v>0</v>
      </c>
      <c r="J66" s="255" t="s">
        <v>139</v>
      </c>
      <c r="K66" s="517" t="s">
        <v>139</v>
      </c>
      <c r="L66" s="406" t="s">
        <v>139</v>
      </c>
      <c r="M66" s="411">
        <v>0</v>
      </c>
      <c r="N66" s="287" t="s">
        <v>139</v>
      </c>
      <c r="O66" s="308" t="str">
        <f>IF(OR(M66=0,N66="NA"),"NA",IFERROR(INDEX('Data - Reference'!$B$37:$B$50,MATCH('Unit Summary - Rent Roll'!$M66,INDEX('Data - Reference'!$B$37:$J$50,,MATCH('Unit Summary - Rent Roll'!$N66,'Data - Reference'!$B$37:$J$37,0)),-1),1),"NA"))</f>
        <v>NA</v>
      </c>
      <c r="P66" s="244" t="s">
        <v>85</v>
      </c>
      <c r="Q66" s="244" t="s">
        <v>85</v>
      </c>
      <c r="R66" s="193">
        <v>0</v>
      </c>
      <c r="S66" s="370">
        <f t="shared" si="17"/>
        <v>0</v>
      </c>
      <c r="T66" s="101">
        <f t="shared" si="18"/>
        <v>0</v>
      </c>
      <c r="U66" s="193">
        <v>0</v>
      </c>
      <c r="V66" s="370">
        <f t="shared" si="19"/>
        <v>0</v>
      </c>
      <c r="W66" s="101">
        <f t="shared" si="8"/>
        <v>0</v>
      </c>
      <c r="X66" s="72">
        <f>IFERROR(IF(INDEX(AC$14:AC$18,MATCH($E66,$AB$14:$AB$18,0))&lt;&gt;0,INDEX(AC$14:AC$18,MATCH($E66,$AB$14:$AB$18,0)),
IF($M66="Market",0,IF($L66="HUD FMR",INDEX('Data - Reference'!$B$31:$G$31,MATCH($E66,'Data - Reference'!$B$9:$G$9,0)),INDEX('Data - Reference'!$B$9:$G$31,MATCH($K66,'Data - Reference'!$B$9:$B$31,0),MATCH($E66,'Data - Reference'!$B$9:$G$9,0))))),0)</f>
        <v>0</v>
      </c>
      <c r="Y66" s="72">
        <f>IFERROR(IF(INDEX(AD$14:AD$18,MATCH($E66,$AB$14:$AB$18,0))&lt;&gt;0,INDEX(AD$14:AD$18,MATCH($E66,$AB$14:$AB$18,0)),
IF($K66="None - Market",0,-INDEX('Data - Reference'!$B$32:$G$32,MATCH($E66,'Data - Reference'!$B$9:$G$9,0)))),0)</f>
        <v>0</v>
      </c>
      <c r="Z66" s="76">
        <f t="shared" si="20"/>
        <v>0</v>
      </c>
      <c r="AA66" s="67">
        <f t="shared" si="21"/>
        <v>0</v>
      </c>
      <c r="AB66" s="101">
        <f t="shared" si="10"/>
        <v>0</v>
      </c>
      <c r="AC66" s="84">
        <f t="shared" si="11"/>
        <v>0</v>
      </c>
      <c r="AD66" s="86">
        <f t="shared" si="22"/>
        <v>0</v>
      </c>
      <c r="AE66" s="101">
        <f t="shared" si="12"/>
        <v>0</v>
      </c>
      <c r="AF66" s="424" t="str">
        <f t="shared" si="0"/>
        <v>NA</v>
      </c>
      <c r="AG66" s="429" t="str">
        <f t="shared" si="13"/>
        <v>NA</v>
      </c>
      <c r="AH66" s="429" t="str">
        <f t="shared" si="1"/>
        <v>NA</v>
      </c>
      <c r="AI66" s="426" t="str">
        <f t="shared" si="14"/>
        <v>NA</v>
      </c>
      <c r="AJ66" s="426" t="str">
        <f t="shared" si="15"/>
        <v>NA</v>
      </c>
      <c r="AK66" s="535" t="str">
        <f>IFERROR(INDEX('Current Tenant Policy-Reference'!Q:Q,MATCH('Unit Summary - Rent Roll'!AJ66,'Current Tenant Policy-Reference'!O:O,0)),"NA")</f>
        <v>NA</v>
      </c>
    </row>
    <row r="67" spans="2:37" ht="13.8" x14ac:dyDescent="0.3">
      <c r="B67" s="241">
        <v>41</v>
      </c>
      <c r="C67" s="600" t="s">
        <v>143</v>
      </c>
      <c r="D67" s="601"/>
      <c r="E67" s="190" t="s">
        <v>139</v>
      </c>
      <c r="F67" s="191">
        <v>0</v>
      </c>
      <c r="G67" s="244" t="s">
        <v>85</v>
      </c>
      <c r="H67" s="248">
        <v>0</v>
      </c>
      <c r="I67" s="380">
        <f t="shared" si="16"/>
        <v>0</v>
      </c>
      <c r="J67" s="255" t="s">
        <v>139</v>
      </c>
      <c r="K67" s="517" t="s">
        <v>139</v>
      </c>
      <c r="L67" s="406" t="s">
        <v>139</v>
      </c>
      <c r="M67" s="411">
        <v>0</v>
      </c>
      <c r="N67" s="287" t="s">
        <v>139</v>
      </c>
      <c r="O67" s="308" t="str">
        <f>IF(OR(M67=0,N67="NA"),"NA",IFERROR(INDEX('Data - Reference'!$B$37:$B$50,MATCH('Unit Summary - Rent Roll'!$M67,INDEX('Data - Reference'!$B$37:$J$50,,MATCH('Unit Summary - Rent Roll'!$N67,'Data - Reference'!$B$37:$J$37,0)),-1),1),"NA"))</f>
        <v>NA</v>
      </c>
      <c r="P67" s="244" t="s">
        <v>85</v>
      </c>
      <c r="Q67" s="244" t="s">
        <v>85</v>
      </c>
      <c r="R67" s="193">
        <v>0</v>
      </c>
      <c r="S67" s="370">
        <f t="shared" si="17"/>
        <v>0</v>
      </c>
      <c r="T67" s="101">
        <f t="shared" si="18"/>
        <v>0</v>
      </c>
      <c r="U67" s="193">
        <v>0</v>
      </c>
      <c r="V67" s="370">
        <f t="shared" si="19"/>
        <v>0</v>
      </c>
      <c r="W67" s="101">
        <f t="shared" si="8"/>
        <v>0</v>
      </c>
      <c r="X67" s="72">
        <f>IFERROR(IF(INDEX(AC$14:AC$18,MATCH($E67,$AB$14:$AB$18,0))&lt;&gt;0,INDEX(AC$14:AC$18,MATCH($E67,$AB$14:$AB$18,0)),
IF($M67="Market",0,IF($L67="HUD FMR",INDEX('Data - Reference'!$B$31:$G$31,MATCH($E67,'Data - Reference'!$B$9:$G$9,0)),INDEX('Data - Reference'!$B$9:$G$31,MATCH($K67,'Data - Reference'!$B$9:$B$31,0),MATCH($E67,'Data - Reference'!$B$9:$G$9,0))))),0)</f>
        <v>0</v>
      </c>
      <c r="Y67" s="72">
        <f>IFERROR(IF(INDEX(AD$14:AD$18,MATCH($E67,$AB$14:$AB$18,0))&lt;&gt;0,INDEX(AD$14:AD$18,MATCH($E67,$AB$14:$AB$18,0)),
IF($K67="None - Market",0,-INDEX('Data - Reference'!$B$32:$G$32,MATCH($E67,'Data - Reference'!$B$9:$G$9,0)))),0)</f>
        <v>0</v>
      </c>
      <c r="Z67" s="76">
        <f t="shared" si="20"/>
        <v>0</v>
      </c>
      <c r="AA67" s="67">
        <f t="shared" si="21"/>
        <v>0</v>
      </c>
      <c r="AB67" s="101">
        <f t="shared" si="10"/>
        <v>0</v>
      </c>
      <c r="AC67" s="84">
        <f t="shared" si="11"/>
        <v>0</v>
      </c>
      <c r="AD67" s="86">
        <f t="shared" si="22"/>
        <v>0</v>
      </c>
      <c r="AE67" s="101">
        <f t="shared" si="12"/>
        <v>0</v>
      </c>
      <c r="AF67" s="424" t="str">
        <f t="shared" si="0"/>
        <v>NA</v>
      </c>
      <c r="AG67" s="429" t="str">
        <f t="shared" si="13"/>
        <v>NA</v>
      </c>
      <c r="AH67" s="429" t="str">
        <f t="shared" si="1"/>
        <v>NA</v>
      </c>
      <c r="AI67" s="426" t="str">
        <f t="shared" si="14"/>
        <v>NA</v>
      </c>
      <c r="AJ67" s="426" t="str">
        <f t="shared" si="15"/>
        <v>NA</v>
      </c>
      <c r="AK67" s="535" t="str">
        <f>IFERROR(INDEX('Current Tenant Policy-Reference'!Q:Q,MATCH('Unit Summary - Rent Roll'!AJ67,'Current Tenant Policy-Reference'!O:O,0)),"NA")</f>
        <v>NA</v>
      </c>
    </row>
    <row r="68" spans="2:37" ht="13.8" x14ac:dyDescent="0.3">
      <c r="B68" s="241">
        <v>42</v>
      </c>
      <c r="C68" s="600" t="s">
        <v>143</v>
      </c>
      <c r="D68" s="601"/>
      <c r="E68" s="190" t="s">
        <v>139</v>
      </c>
      <c r="F68" s="191">
        <v>0</v>
      </c>
      <c r="G68" s="244" t="s">
        <v>85</v>
      </c>
      <c r="H68" s="248">
        <v>0</v>
      </c>
      <c r="I68" s="380">
        <f t="shared" si="16"/>
        <v>0</v>
      </c>
      <c r="J68" s="255" t="s">
        <v>139</v>
      </c>
      <c r="K68" s="517" t="s">
        <v>139</v>
      </c>
      <c r="L68" s="406" t="s">
        <v>139</v>
      </c>
      <c r="M68" s="411">
        <v>0</v>
      </c>
      <c r="N68" s="287" t="s">
        <v>139</v>
      </c>
      <c r="O68" s="308" t="str">
        <f>IF(OR(M68=0,N68="NA"),"NA",IFERROR(INDEX('Data - Reference'!$B$37:$B$50,MATCH('Unit Summary - Rent Roll'!$M68,INDEX('Data - Reference'!$B$37:$J$50,,MATCH('Unit Summary - Rent Roll'!$N68,'Data - Reference'!$B$37:$J$37,0)),-1),1),"NA"))</f>
        <v>NA</v>
      </c>
      <c r="P68" s="244" t="s">
        <v>85</v>
      </c>
      <c r="Q68" s="244" t="s">
        <v>85</v>
      </c>
      <c r="R68" s="193">
        <v>0</v>
      </c>
      <c r="S68" s="370">
        <f t="shared" si="17"/>
        <v>0</v>
      </c>
      <c r="T68" s="101">
        <f t="shared" si="18"/>
        <v>0</v>
      </c>
      <c r="U68" s="193">
        <v>0</v>
      </c>
      <c r="V68" s="370">
        <f t="shared" si="19"/>
        <v>0</v>
      </c>
      <c r="W68" s="101">
        <f t="shared" si="8"/>
        <v>0</v>
      </c>
      <c r="X68" s="72">
        <f>IFERROR(IF(INDEX(AC$14:AC$18,MATCH($E68,$AB$14:$AB$18,0))&lt;&gt;0,INDEX(AC$14:AC$18,MATCH($E68,$AB$14:$AB$18,0)),
IF($M68="Market",0,IF($L68="HUD FMR",INDEX('Data - Reference'!$B$31:$G$31,MATCH($E68,'Data - Reference'!$B$9:$G$9,0)),INDEX('Data - Reference'!$B$9:$G$31,MATCH($K68,'Data - Reference'!$B$9:$B$31,0),MATCH($E68,'Data - Reference'!$B$9:$G$9,0))))),0)</f>
        <v>0</v>
      </c>
      <c r="Y68" s="72">
        <f>IFERROR(IF(INDEX(AD$14:AD$18,MATCH($E68,$AB$14:$AB$18,0))&lt;&gt;0,INDEX(AD$14:AD$18,MATCH($E68,$AB$14:$AB$18,0)),
IF($K68="None - Market",0,-INDEX('Data - Reference'!$B$32:$G$32,MATCH($E68,'Data - Reference'!$B$9:$G$9,0)))),0)</f>
        <v>0</v>
      </c>
      <c r="Z68" s="76">
        <f t="shared" si="20"/>
        <v>0</v>
      </c>
      <c r="AA68" s="67">
        <f t="shared" si="21"/>
        <v>0</v>
      </c>
      <c r="AB68" s="101">
        <f t="shared" si="10"/>
        <v>0</v>
      </c>
      <c r="AC68" s="84">
        <f t="shared" si="11"/>
        <v>0</v>
      </c>
      <c r="AD68" s="86">
        <f t="shared" si="22"/>
        <v>0</v>
      </c>
      <c r="AE68" s="101">
        <f t="shared" si="12"/>
        <v>0</v>
      </c>
      <c r="AF68" s="424" t="str">
        <f t="shared" si="0"/>
        <v>NA</v>
      </c>
      <c r="AG68" s="429" t="str">
        <f t="shared" si="13"/>
        <v>NA</v>
      </c>
      <c r="AH68" s="429" t="str">
        <f t="shared" si="1"/>
        <v>NA</v>
      </c>
      <c r="AI68" s="426" t="str">
        <f t="shared" si="14"/>
        <v>NA</v>
      </c>
      <c r="AJ68" s="426" t="str">
        <f t="shared" si="15"/>
        <v>NA</v>
      </c>
      <c r="AK68" s="535" t="str">
        <f>IFERROR(INDEX('Current Tenant Policy-Reference'!Q:Q,MATCH('Unit Summary - Rent Roll'!AJ68,'Current Tenant Policy-Reference'!O:O,0)),"NA")</f>
        <v>NA</v>
      </c>
    </row>
    <row r="69" spans="2:37" ht="13.8" x14ac:dyDescent="0.3">
      <c r="B69" s="241">
        <v>43</v>
      </c>
      <c r="C69" s="600" t="s">
        <v>143</v>
      </c>
      <c r="D69" s="601"/>
      <c r="E69" s="190" t="s">
        <v>139</v>
      </c>
      <c r="F69" s="191">
        <v>0</v>
      </c>
      <c r="G69" s="244" t="s">
        <v>85</v>
      </c>
      <c r="H69" s="248">
        <v>0</v>
      </c>
      <c r="I69" s="380">
        <f t="shared" si="16"/>
        <v>0</v>
      </c>
      <c r="J69" s="255" t="s">
        <v>139</v>
      </c>
      <c r="K69" s="517" t="s">
        <v>139</v>
      </c>
      <c r="L69" s="406" t="s">
        <v>139</v>
      </c>
      <c r="M69" s="411">
        <v>0</v>
      </c>
      <c r="N69" s="287" t="s">
        <v>139</v>
      </c>
      <c r="O69" s="308" t="str">
        <f>IF(OR(M69=0,N69="NA"),"NA",IFERROR(INDEX('Data - Reference'!$B$37:$B$50,MATCH('Unit Summary - Rent Roll'!$M69,INDEX('Data - Reference'!$B$37:$J$50,,MATCH('Unit Summary - Rent Roll'!$N69,'Data - Reference'!$B$37:$J$37,0)),-1),1),"NA"))</f>
        <v>NA</v>
      </c>
      <c r="P69" s="244" t="s">
        <v>85</v>
      </c>
      <c r="Q69" s="244" t="s">
        <v>85</v>
      </c>
      <c r="R69" s="193">
        <v>0</v>
      </c>
      <c r="S69" s="370">
        <f t="shared" si="17"/>
        <v>0</v>
      </c>
      <c r="T69" s="101">
        <f t="shared" si="18"/>
        <v>0</v>
      </c>
      <c r="U69" s="193">
        <v>0</v>
      </c>
      <c r="V69" s="370">
        <f t="shared" si="19"/>
        <v>0</v>
      </c>
      <c r="W69" s="101">
        <f t="shared" si="8"/>
        <v>0</v>
      </c>
      <c r="X69" s="72">
        <f>IFERROR(IF(INDEX(AC$14:AC$18,MATCH($E69,$AB$14:$AB$18,0))&lt;&gt;0,INDEX(AC$14:AC$18,MATCH($E69,$AB$14:$AB$18,0)),
IF($M69="Market",0,IF($L69="HUD FMR",INDEX('Data - Reference'!$B$31:$G$31,MATCH($E69,'Data - Reference'!$B$9:$G$9,0)),INDEX('Data - Reference'!$B$9:$G$31,MATCH($K69,'Data - Reference'!$B$9:$B$31,0),MATCH($E69,'Data - Reference'!$B$9:$G$9,0))))),0)</f>
        <v>0</v>
      </c>
      <c r="Y69" s="72">
        <f>IFERROR(IF(INDEX(AD$14:AD$18,MATCH($E69,$AB$14:$AB$18,0))&lt;&gt;0,INDEX(AD$14:AD$18,MATCH($E69,$AB$14:$AB$18,0)),
IF($K69="None - Market",0,-INDEX('Data - Reference'!$B$32:$G$32,MATCH($E69,'Data - Reference'!$B$9:$G$9,0)))),0)</f>
        <v>0</v>
      </c>
      <c r="Z69" s="76">
        <f t="shared" si="20"/>
        <v>0</v>
      </c>
      <c r="AA69" s="67">
        <f t="shared" si="21"/>
        <v>0</v>
      </c>
      <c r="AB69" s="101">
        <f t="shared" si="10"/>
        <v>0</v>
      </c>
      <c r="AC69" s="84">
        <f t="shared" si="11"/>
        <v>0</v>
      </c>
      <c r="AD69" s="86">
        <f t="shared" si="22"/>
        <v>0</v>
      </c>
      <c r="AE69" s="101">
        <f t="shared" si="12"/>
        <v>0</v>
      </c>
      <c r="AF69" s="424" t="str">
        <f t="shared" si="0"/>
        <v>NA</v>
      </c>
      <c r="AG69" s="429" t="str">
        <f t="shared" si="13"/>
        <v>NA</v>
      </c>
      <c r="AH69" s="429" t="str">
        <f t="shared" si="1"/>
        <v>NA</v>
      </c>
      <c r="AI69" s="426" t="str">
        <f t="shared" si="14"/>
        <v>NA</v>
      </c>
      <c r="AJ69" s="426" t="str">
        <f t="shared" si="15"/>
        <v>NA</v>
      </c>
      <c r="AK69" s="535" t="str">
        <f>IFERROR(INDEX('Current Tenant Policy-Reference'!Q:Q,MATCH('Unit Summary - Rent Roll'!AJ69,'Current Tenant Policy-Reference'!O:O,0)),"NA")</f>
        <v>NA</v>
      </c>
    </row>
    <row r="70" spans="2:37" ht="13.8" x14ac:dyDescent="0.3">
      <c r="B70" s="241">
        <v>44</v>
      </c>
      <c r="C70" s="600" t="s">
        <v>143</v>
      </c>
      <c r="D70" s="601"/>
      <c r="E70" s="190" t="s">
        <v>139</v>
      </c>
      <c r="F70" s="191">
        <v>0</v>
      </c>
      <c r="G70" s="244" t="s">
        <v>85</v>
      </c>
      <c r="H70" s="248">
        <v>0</v>
      </c>
      <c r="I70" s="380">
        <f t="shared" si="16"/>
        <v>0</v>
      </c>
      <c r="J70" s="255" t="s">
        <v>139</v>
      </c>
      <c r="K70" s="517" t="s">
        <v>139</v>
      </c>
      <c r="L70" s="406" t="s">
        <v>139</v>
      </c>
      <c r="M70" s="411">
        <v>0</v>
      </c>
      <c r="N70" s="287" t="s">
        <v>139</v>
      </c>
      <c r="O70" s="308" t="str">
        <f>IF(OR(M70=0,N70="NA"),"NA",IFERROR(INDEX('Data - Reference'!$B$37:$B$50,MATCH('Unit Summary - Rent Roll'!$M70,INDEX('Data - Reference'!$B$37:$J$50,,MATCH('Unit Summary - Rent Roll'!$N70,'Data - Reference'!$B$37:$J$37,0)),-1),1),"NA"))</f>
        <v>NA</v>
      </c>
      <c r="P70" s="244" t="s">
        <v>85</v>
      </c>
      <c r="Q70" s="244" t="s">
        <v>85</v>
      </c>
      <c r="R70" s="193">
        <v>0</v>
      </c>
      <c r="S70" s="370">
        <f t="shared" si="17"/>
        <v>0</v>
      </c>
      <c r="T70" s="101">
        <f t="shared" si="18"/>
        <v>0</v>
      </c>
      <c r="U70" s="193">
        <v>0</v>
      </c>
      <c r="V70" s="370">
        <f t="shared" si="19"/>
        <v>0</v>
      </c>
      <c r="W70" s="101">
        <f t="shared" si="8"/>
        <v>0</v>
      </c>
      <c r="X70" s="72">
        <f>IFERROR(IF(INDEX(AC$14:AC$18,MATCH($E70,$AB$14:$AB$18,0))&lt;&gt;0,INDEX(AC$14:AC$18,MATCH($E70,$AB$14:$AB$18,0)),
IF($M70="Market",0,IF($L70="HUD FMR",INDEX('Data - Reference'!$B$31:$G$31,MATCH($E70,'Data - Reference'!$B$9:$G$9,0)),INDEX('Data - Reference'!$B$9:$G$31,MATCH($K70,'Data - Reference'!$B$9:$B$31,0),MATCH($E70,'Data - Reference'!$B$9:$G$9,0))))),0)</f>
        <v>0</v>
      </c>
      <c r="Y70" s="72">
        <f>IFERROR(IF(INDEX(AD$14:AD$18,MATCH($E70,$AB$14:$AB$18,0))&lt;&gt;0,INDEX(AD$14:AD$18,MATCH($E70,$AB$14:$AB$18,0)),
IF($K70="None - Market",0,-INDEX('Data - Reference'!$B$32:$G$32,MATCH($E70,'Data - Reference'!$B$9:$G$9,0)))),0)</f>
        <v>0</v>
      </c>
      <c r="Z70" s="76">
        <f t="shared" si="20"/>
        <v>0</v>
      </c>
      <c r="AA70" s="67">
        <f t="shared" si="21"/>
        <v>0</v>
      </c>
      <c r="AB70" s="101">
        <f t="shared" si="10"/>
        <v>0</v>
      </c>
      <c r="AC70" s="84">
        <f t="shared" si="11"/>
        <v>0</v>
      </c>
      <c r="AD70" s="86">
        <f t="shared" si="22"/>
        <v>0</v>
      </c>
      <c r="AE70" s="101">
        <f t="shared" si="12"/>
        <v>0</v>
      </c>
      <c r="AF70" s="424" t="str">
        <f t="shared" si="0"/>
        <v>NA</v>
      </c>
      <c r="AG70" s="429" t="str">
        <f t="shared" si="13"/>
        <v>NA</v>
      </c>
      <c r="AH70" s="429" t="str">
        <f t="shared" si="1"/>
        <v>NA</v>
      </c>
      <c r="AI70" s="426" t="str">
        <f t="shared" si="14"/>
        <v>NA</v>
      </c>
      <c r="AJ70" s="426" t="str">
        <f t="shared" si="15"/>
        <v>NA</v>
      </c>
      <c r="AK70" s="535" t="str">
        <f>IFERROR(INDEX('Current Tenant Policy-Reference'!Q:Q,MATCH('Unit Summary - Rent Roll'!AJ70,'Current Tenant Policy-Reference'!O:O,0)),"NA")</f>
        <v>NA</v>
      </c>
    </row>
    <row r="71" spans="2:37" ht="13.8" x14ac:dyDescent="0.3">
      <c r="B71" s="241">
        <v>45</v>
      </c>
      <c r="C71" s="600" t="s">
        <v>143</v>
      </c>
      <c r="D71" s="601"/>
      <c r="E71" s="190" t="s">
        <v>139</v>
      </c>
      <c r="F71" s="191">
        <v>0</v>
      </c>
      <c r="G71" s="244" t="s">
        <v>85</v>
      </c>
      <c r="H71" s="248">
        <v>0</v>
      </c>
      <c r="I71" s="380">
        <f t="shared" si="16"/>
        <v>0</v>
      </c>
      <c r="J71" s="255" t="s">
        <v>139</v>
      </c>
      <c r="K71" s="517" t="s">
        <v>139</v>
      </c>
      <c r="L71" s="406" t="s">
        <v>139</v>
      </c>
      <c r="M71" s="411">
        <v>0</v>
      </c>
      <c r="N71" s="287" t="s">
        <v>139</v>
      </c>
      <c r="O71" s="308" t="str">
        <f>IF(OR(M71=0,N71="NA"),"NA",IFERROR(INDEX('Data - Reference'!$B$37:$B$50,MATCH('Unit Summary - Rent Roll'!$M71,INDEX('Data - Reference'!$B$37:$J$50,,MATCH('Unit Summary - Rent Roll'!$N71,'Data - Reference'!$B$37:$J$37,0)),-1),1),"NA"))</f>
        <v>NA</v>
      </c>
      <c r="P71" s="244" t="s">
        <v>85</v>
      </c>
      <c r="Q71" s="244" t="s">
        <v>85</v>
      </c>
      <c r="R71" s="193">
        <v>0</v>
      </c>
      <c r="S71" s="370">
        <f t="shared" si="17"/>
        <v>0</v>
      </c>
      <c r="T71" s="101">
        <f t="shared" si="18"/>
        <v>0</v>
      </c>
      <c r="U71" s="193">
        <v>0</v>
      </c>
      <c r="V71" s="370">
        <f t="shared" si="19"/>
        <v>0</v>
      </c>
      <c r="W71" s="101">
        <f t="shared" si="8"/>
        <v>0</v>
      </c>
      <c r="X71" s="72">
        <f>IFERROR(IF(INDEX(AC$14:AC$18,MATCH($E71,$AB$14:$AB$18,0))&lt;&gt;0,INDEX(AC$14:AC$18,MATCH($E71,$AB$14:$AB$18,0)),
IF($M71="Market",0,IF($L71="HUD FMR",INDEX('Data - Reference'!$B$31:$G$31,MATCH($E71,'Data - Reference'!$B$9:$G$9,0)),INDEX('Data - Reference'!$B$9:$G$31,MATCH($K71,'Data - Reference'!$B$9:$B$31,0),MATCH($E71,'Data - Reference'!$B$9:$G$9,0))))),0)</f>
        <v>0</v>
      </c>
      <c r="Y71" s="72">
        <f>IFERROR(IF(INDEX(AD$14:AD$18,MATCH($E71,$AB$14:$AB$18,0))&lt;&gt;0,INDEX(AD$14:AD$18,MATCH($E71,$AB$14:$AB$18,0)),
IF($K71="None - Market",0,-INDEX('Data - Reference'!$B$32:$G$32,MATCH($E71,'Data - Reference'!$B$9:$G$9,0)))),0)</f>
        <v>0</v>
      </c>
      <c r="Z71" s="76">
        <f t="shared" si="20"/>
        <v>0</v>
      </c>
      <c r="AA71" s="67">
        <f t="shared" si="21"/>
        <v>0</v>
      </c>
      <c r="AB71" s="101">
        <f t="shared" si="10"/>
        <v>0</v>
      </c>
      <c r="AC71" s="84">
        <f t="shared" si="11"/>
        <v>0</v>
      </c>
      <c r="AD71" s="86">
        <f t="shared" si="22"/>
        <v>0</v>
      </c>
      <c r="AE71" s="101">
        <f t="shared" si="12"/>
        <v>0</v>
      </c>
      <c r="AF71" s="424" t="str">
        <f t="shared" si="0"/>
        <v>NA</v>
      </c>
      <c r="AG71" s="429" t="str">
        <f t="shared" si="13"/>
        <v>NA</v>
      </c>
      <c r="AH71" s="429" t="str">
        <f t="shared" si="1"/>
        <v>NA</v>
      </c>
      <c r="AI71" s="426" t="str">
        <f t="shared" si="14"/>
        <v>NA</v>
      </c>
      <c r="AJ71" s="426" t="str">
        <f t="shared" si="15"/>
        <v>NA</v>
      </c>
      <c r="AK71" s="535" t="str">
        <f>IFERROR(INDEX('Current Tenant Policy-Reference'!Q:Q,MATCH('Unit Summary - Rent Roll'!AJ71,'Current Tenant Policy-Reference'!O:O,0)),"NA")</f>
        <v>NA</v>
      </c>
    </row>
    <row r="72" spans="2:37" ht="13.8" x14ac:dyDescent="0.3">
      <c r="B72" s="241">
        <v>46</v>
      </c>
      <c r="C72" s="600" t="s">
        <v>143</v>
      </c>
      <c r="D72" s="601"/>
      <c r="E72" s="190" t="s">
        <v>139</v>
      </c>
      <c r="F72" s="191">
        <v>0</v>
      </c>
      <c r="G72" s="244" t="s">
        <v>85</v>
      </c>
      <c r="H72" s="248">
        <v>0</v>
      </c>
      <c r="I72" s="380">
        <f t="shared" si="16"/>
        <v>0</v>
      </c>
      <c r="J72" s="255" t="s">
        <v>139</v>
      </c>
      <c r="K72" s="517" t="s">
        <v>139</v>
      </c>
      <c r="L72" s="406" t="s">
        <v>139</v>
      </c>
      <c r="M72" s="411">
        <v>0</v>
      </c>
      <c r="N72" s="287" t="s">
        <v>139</v>
      </c>
      <c r="O72" s="308" t="str">
        <f>IF(OR(M72=0,N72="NA"),"NA",IFERROR(INDEX('Data - Reference'!$B$37:$B$50,MATCH('Unit Summary - Rent Roll'!$M72,INDEX('Data - Reference'!$B$37:$J$50,,MATCH('Unit Summary - Rent Roll'!$N72,'Data - Reference'!$B$37:$J$37,0)),-1),1),"NA"))</f>
        <v>NA</v>
      </c>
      <c r="P72" s="244" t="s">
        <v>85</v>
      </c>
      <c r="Q72" s="244" t="s">
        <v>85</v>
      </c>
      <c r="R72" s="193">
        <v>0</v>
      </c>
      <c r="S72" s="370">
        <f t="shared" si="17"/>
        <v>0</v>
      </c>
      <c r="T72" s="101">
        <f t="shared" si="18"/>
        <v>0</v>
      </c>
      <c r="U72" s="193">
        <v>0</v>
      </c>
      <c r="V72" s="370">
        <f t="shared" si="19"/>
        <v>0</v>
      </c>
      <c r="W72" s="101">
        <f t="shared" si="8"/>
        <v>0</v>
      </c>
      <c r="X72" s="72">
        <f>IFERROR(IF(INDEX(AC$14:AC$18,MATCH($E72,$AB$14:$AB$18,0))&lt;&gt;0,INDEX(AC$14:AC$18,MATCH($E72,$AB$14:$AB$18,0)),
IF($M72="Market",0,IF($L72="HUD FMR",INDEX('Data - Reference'!$B$31:$G$31,MATCH($E72,'Data - Reference'!$B$9:$G$9,0)),INDEX('Data - Reference'!$B$9:$G$31,MATCH($K72,'Data - Reference'!$B$9:$B$31,0),MATCH($E72,'Data - Reference'!$B$9:$G$9,0))))),0)</f>
        <v>0</v>
      </c>
      <c r="Y72" s="72">
        <f>IFERROR(IF(INDEX(AD$14:AD$18,MATCH($E72,$AB$14:$AB$18,0))&lt;&gt;0,INDEX(AD$14:AD$18,MATCH($E72,$AB$14:$AB$18,0)),
IF($K72="None - Market",0,-INDEX('Data - Reference'!$B$32:$G$32,MATCH($E72,'Data - Reference'!$B$9:$G$9,0)))),0)</f>
        <v>0</v>
      </c>
      <c r="Z72" s="76">
        <f t="shared" si="20"/>
        <v>0</v>
      </c>
      <c r="AA72" s="67">
        <f t="shared" si="21"/>
        <v>0</v>
      </c>
      <c r="AB72" s="101">
        <f t="shared" si="10"/>
        <v>0</v>
      </c>
      <c r="AC72" s="84">
        <f t="shared" si="11"/>
        <v>0</v>
      </c>
      <c r="AD72" s="86">
        <f t="shared" si="22"/>
        <v>0</v>
      </c>
      <c r="AE72" s="101">
        <f t="shared" si="12"/>
        <v>0</v>
      </c>
      <c r="AF72" s="424" t="str">
        <f t="shared" si="0"/>
        <v>NA</v>
      </c>
      <c r="AG72" s="429" t="str">
        <f t="shared" si="13"/>
        <v>NA</v>
      </c>
      <c r="AH72" s="429" t="str">
        <f t="shared" si="1"/>
        <v>NA</v>
      </c>
      <c r="AI72" s="426" t="str">
        <f t="shared" si="14"/>
        <v>NA</v>
      </c>
      <c r="AJ72" s="426" t="str">
        <f t="shared" si="15"/>
        <v>NA</v>
      </c>
      <c r="AK72" s="535" t="str">
        <f>IFERROR(INDEX('Current Tenant Policy-Reference'!Q:Q,MATCH('Unit Summary - Rent Roll'!AJ72,'Current Tenant Policy-Reference'!O:O,0)),"NA")</f>
        <v>NA</v>
      </c>
    </row>
    <row r="73" spans="2:37" ht="13.8" x14ac:dyDescent="0.3">
      <c r="B73" s="241">
        <v>47</v>
      </c>
      <c r="C73" s="600" t="s">
        <v>143</v>
      </c>
      <c r="D73" s="601"/>
      <c r="E73" s="190" t="s">
        <v>139</v>
      </c>
      <c r="F73" s="191">
        <v>0</v>
      </c>
      <c r="G73" s="244" t="s">
        <v>85</v>
      </c>
      <c r="H73" s="248">
        <v>0</v>
      </c>
      <c r="I73" s="380">
        <f t="shared" si="16"/>
        <v>0</v>
      </c>
      <c r="J73" s="255" t="s">
        <v>139</v>
      </c>
      <c r="K73" s="517" t="s">
        <v>139</v>
      </c>
      <c r="L73" s="406" t="s">
        <v>139</v>
      </c>
      <c r="M73" s="411">
        <v>0</v>
      </c>
      <c r="N73" s="287" t="s">
        <v>139</v>
      </c>
      <c r="O73" s="308" t="str">
        <f>IF(OR(M73=0,N73="NA"),"NA",IFERROR(INDEX('Data - Reference'!$B$37:$B$50,MATCH('Unit Summary - Rent Roll'!$M73,INDEX('Data - Reference'!$B$37:$J$50,,MATCH('Unit Summary - Rent Roll'!$N73,'Data - Reference'!$B$37:$J$37,0)),-1),1),"NA"))</f>
        <v>NA</v>
      </c>
      <c r="P73" s="244" t="s">
        <v>85</v>
      </c>
      <c r="Q73" s="244" t="s">
        <v>85</v>
      </c>
      <c r="R73" s="193">
        <v>0</v>
      </c>
      <c r="S73" s="370">
        <f t="shared" si="17"/>
        <v>0</v>
      </c>
      <c r="T73" s="101">
        <f t="shared" si="18"/>
        <v>0</v>
      </c>
      <c r="U73" s="193">
        <v>0</v>
      </c>
      <c r="V73" s="370">
        <f t="shared" si="19"/>
        <v>0</v>
      </c>
      <c r="W73" s="101">
        <f t="shared" si="8"/>
        <v>0</v>
      </c>
      <c r="X73" s="72">
        <f>IFERROR(IF(INDEX(AC$14:AC$18,MATCH($E73,$AB$14:$AB$18,0))&lt;&gt;0,INDEX(AC$14:AC$18,MATCH($E73,$AB$14:$AB$18,0)),
IF($M73="Market",0,IF($L73="HUD FMR",INDEX('Data - Reference'!$B$31:$G$31,MATCH($E73,'Data - Reference'!$B$9:$G$9,0)),INDEX('Data - Reference'!$B$9:$G$31,MATCH($K73,'Data - Reference'!$B$9:$B$31,0),MATCH($E73,'Data - Reference'!$B$9:$G$9,0))))),0)</f>
        <v>0</v>
      </c>
      <c r="Y73" s="72">
        <f>IFERROR(IF(INDEX(AD$14:AD$18,MATCH($E73,$AB$14:$AB$18,0))&lt;&gt;0,INDEX(AD$14:AD$18,MATCH($E73,$AB$14:$AB$18,0)),
IF($K73="None - Market",0,-INDEX('Data - Reference'!$B$32:$G$32,MATCH($E73,'Data - Reference'!$B$9:$G$9,0)))),0)</f>
        <v>0</v>
      </c>
      <c r="Z73" s="76">
        <f t="shared" si="20"/>
        <v>0</v>
      </c>
      <c r="AA73" s="67">
        <f t="shared" si="21"/>
        <v>0</v>
      </c>
      <c r="AB73" s="101">
        <f t="shared" si="10"/>
        <v>0</v>
      </c>
      <c r="AC73" s="84">
        <f t="shared" si="11"/>
        <v>0</v>
      </c>
      <c r="AD73" s="86">
        <f t="shared" si="22"/>
        <v>0</v>
      </c>
      <c r="AE73" s="101">
        <f t="shared" si="12"/>
        <v>0</v>
      </c>
      <c r="AF73" s="424" t="str">
        <f t="shared" si="0"/>
        <v>NA</v>
      </c>
      <c r="AG73" s="429" t="str">
        <f t="shared" si="13"/>
        <v>NA</v>
      </c>
      <c r="AH73" s="429" t="str">
        <f t="shared" si="1"/>
        <v>NA</v>
      </c>
      <c r="AI73" s="426" t="str">
        <f t="shared" si="14"/>
        <v>NA</v>
      </c>
      <c r="AJ73" s="426" t="str">
        <f t="shared" si="15"/>
        <v>NA</v>
      </c>
      <c r="AK73" s="535" t="str">
        <f>IFERROR(INDEX('Current Tenant Policy-Reference'!Q:Q,MATCH('Unit Summary - Rent Roll'!AJ73,'Current Tenant Policy-Reference'!O:O,0)),"NA")</f>
        <v>NA</v>
      </c>
    </row>
    <row r="74" spans="2:37" ht="13.8" x14ac:dyDescent="0.3">
      <c r="B74" s="241">
        <v>48</v>
      </c>
      <c r="C74" s="600" t="s">
        <v>143</v>
      </c>
      <c r="D74" s="601"/>
      <c r="E74" s="190" t="s">
        <v>139</v>
      </c>
      <c r="F74" s="191">
        <v>0</v>
      </c>
      <c r="G74" s="244" t="s">
        <v>85</v>
      </c>
      <c r="H74" s="248">
        <v>0</v>
      </c>
      <c r="I74" s="380">
        <f t="shared" si="16"/>
        <v>0</v>
      </c>
      <c r="J74" s="255" t="s">
        <v>139</v>
      </c>
      <c r="K74" s="517" t="s">
        <v>139</v>
      </c>
      <c r="L74" s="406" t="s">
        <v>139</v>
      </c>
      <c r="M74" s="411">
        <v>0</v>
      </c>
      <c r="N74" s="287" t="s">
        <v>139</v>
      </c>
      <c r="O74" s="308" t="str">
        <f>IF(OR(M74=0,N74="NA"),"NA",IFERROR(INDEX('Data - Reference'!$B$37:$B$50,MATCH('Unit Summary - Rent Roll'!$M74,INDEX('Data - Reference'!$B$37:$J$50,,MATCH('Unit Summary - Rent Roll'!$N74,'Data - Reference'!$B$37:$J$37,0)),-1),1),"NA"))</f>
        <v>NA</v>
      </c>
      <c r="P74" s="244" t="s">
        <v>85</v>
      </c>
      <c r="Q74" s="244" t="s">
        <v>85</v>
      </c>
      <c r="R74" s="193">
        <v>0</v>
      </c>
      <c r="S74" s="370">
        <f t="shared" si="17"/>
        <v>0</v>
      </c>
      <c r="T74" s="101">
        <f t="shared" si="18"/>
        <v>0</v>
      </c>
      <c r="U74" s="193">
        <v>0</v>
      </c>
      <c r="V74" s="370">
        <f t="shared" si="19"/>
        <v>0</v>
      </c>
      <c r="W74" s="101">
        <f t="shared" si="8"/>
        <v>0</v>
      </c>
      <c r="X74" s="72">
        <f>IFERROR(IF(INDEX(AC$14:AC$18,MATCH($E74,$AB$14:$AB$18,0))&lt;&gt;0,INDEX(AC$14:AC$18,MATCH($E74,$AB$14:$AB$18,0)),
IF($M74="Market",0,IF($L74="HUD FMR",INDEX('Data - Reference'!$B$31:$G$31,MATCH($E74,'Data - Reference'!$B$9:$G$9,0)),INDEX('Data - Reference'!$B$9:$G$31,MATCH($K74,'Data - Reference'!$B$9:$B$31,0),MATCH($E74,'Data - Reference'!$B$9:$G$9,0))))),0)</f>
        <v>0</v>
      </c>
      <c r="Y74" s="72">
        <f>IFERROR(IF(INDEX(AD$14:AD$18,MATCH($E74,$AB$14:$AB$18,0))&lt;&gt;0,INDEX(AD$14:AD$18,MATCH($E74,$AB$14:$AB$18,0)),
IF($K74="None - Market",0,-INDEX('Data - Reference'!$B$32:$G$32,MATCH($E74,'Data - Reference'!$B$9:$G$9,0)))),0)</f>
        <v>0</v>
      </c>
      <c r="Z74" s="76">
        <f t="shared" si="20"/>
        <v>0</v>
      </c>
      <c r="AA74" s="67">
        <f t="shared" si="21"/>
        <v>0</v>
      </c>
      <c r="AB74" s="101">
        <f t="shared" si="10"/>
        <v>0</v>
      </c>
      <c r="AC74" s="84">
        <f t="shared" si="11"/>
        <v>0</v>
      </c>
      <c r="AD74" s="86">
        <f t="shared" si="22"/>
        <v>0</v>
      </c>
      <c r="AE74" s="101">
        <f t="shared" si="12"/>
        <v>0</v>
      </c>
      <c r="AF74" s="424" t="str">
        <f t="shared" si="0"/>
        <v>NA</v>
      </c>
      <c r="AG74" s="429" t="str">
        <f t="shared" si="13"/>
        <v>NA</v>
      </c>
      <c r="AH74" s="429" t="str">
        <f t="shared" si="1"/>
        <v>NA</v>
      </c>
      <c r="AI74" s="426" t="str">
        <f t="shared" si="14"/>
        <v>NA</v>
      </c>
      <c r="AJ74" s="426" t="str">
        <f t="shared" si="15"/>
        <v>NA</v>
      </c>
      <c r="AK74" s="535" t="str">
        <f>IFERROR(INDEX('Current Tenant Policy-Reference'!Q:Q,MATCH('Unit Summary - Rent Roll'!AJ74,'Current Tenant Policy-Reference'!O:O,0)),"NA")</f>
        <v>NA</v>
      </c>
    </row>
    <row r="75" spans="2:37" ht="13.8" x14ac:dyDescent="0.3">
      <c r="B75" s="241">
        <v>49</v>
      </c>
      <c r="C75" s="600" t="s">
        <v>143</v>
      </c>
      <c r="D75" s="601"/>
      <c r="E75" s="190" t="s">
        <v>139</v>
      </c>
      <c r="F75" s="191">
        <v>0</v>
      </c>
      <c r="G75" s="244" t="s">
        <v>85</v>
      </c>
      <c r="H75" s="248">
        <v>0</v>
      </c>
      <c r="I75" s="380">
        <f t="shared" si="16"/>
        <v>0</v>
      </c>
      <c r="J75" s="255" t="s">
        <v>139</v>
      </c>
      <c r="K75" s="517" t="s">
        <v>139</v>
      </c>
      <c r="L75" s="406" t="s">
        <v>139</v>
      </c>
      <c r="M75" s="411">
        <v>0</v>
      </c>
      <c r="N75" s="287" t="s">
        <v>139</v>
      </c>
      <c r="O75" s="308" t="str">
        <f>IF(OR(M75=0,N75="NA"),"NA",IFERROR(INDEX('Data - Reference'!$B$37:$B$50,MATCH('Unit Summary - Rent Roll'!$M75,INDEX('Data - Reference'!$B$37:$J$50,,MATCH('Unit Summary - Rent Roll'!$N75,'Data - Reference'!$B$37:$J$37,0)),-1),1),"NA"))</f>
        <v>NA</v>
      </c>
      <c r="P75" s="244" t="s">
        <v>85</v>
      </c>
      <c r="Q75" s="244" t="s">
        <v>85</v>
      </c>
      <c r="R75" s="193">
        <v>0</v>
      </c>
      <c r="S75" s="370">
        <f t="shared" si="17"/>
        <v>0</v>
      </c>
      <c r="T75" s="101">
        <f t="shared" si="18"/>
        <v>0</v>
      </c>
      <c r="U75" s="193">
        <v>0</v>
      </c>
      <c r="V75" s="370">
        <f t="shared" si="19"/>
        <v>0</v>
      </c>
      <c r="W75" s="101">
        <f t="shared" si="8"/>
        <v>0</v>
      </c>
      <c r="X75" s="72">
        <f>IFERROR(IF(INDEX(AC$14:AC$18,MATCH($E75,$AB$14:$AB$18,0))&lt;&gt;0,INDEX(AC$14:AC$18,MATCH($E75,$AB$14:$AB$18,0)),
IF($M75="Market",0,IF($L75="HUD FMR",INDEX('Data - Reference'!$B$31:$G$31,MATCH($E75,'Data - Reference'!$B$9:$G$9,0)),INDEX('Data - Reference'!$B$9:$G$31,MATCH($K75,'Data - Reference'!$B$9:$B$31,0),MATCH($E75,'Data - Reference'!$B$9:$G$9,0))))),0)</f>
        <v>0</v>
      </c>
      <c r="Y75" s="72">
        <f>IFERROR(IF(INDEX(AD$14:AD$18,MATCH($E75,$AB$14:$AB$18,0))&lt;&gt;0,INDEX(AD$14:AD$18,MATCH($E75,$AB$14:$AB$18,0)),
IF($K75="None - Market",0,-INDEX('Data - Reference'!$B$32:$G$32,MATCH($E75,'Data - Reference'!$B$9:$G$9,0)))),0)</f>
        <v>0</v>
      </c>
      <c r="Z75" s="76">
        <f t="shared" si="20"/>
        <v>0</v>
      </c>
      <c r="AA75" s="67">
        <f t="shared" si="21"/>
        <v>0</v>
      </c>
      <c r="AB75" s="101">
        <f t="shared" si="10"/>
        <v>0</v>
      </c>
      <c r="AC75" s="84">
        <f t="shared" si="11"/>
        <v>0</v>
      </c>
      <c r="AD75" s="86">
        <f t="shared" si="22"/>
        <v>0</v>
      </c>
      <c r="AE75" s="101">
        <f t="shared" si="12"/>
        <v>0</v>
      </c>
      <c r="AF75" s="424" t="str">
        <f t="shared" si="0"/>
        <v>NA</v>
      </c>
      <c r="AG75" s="429" t="str">
        <f t="shared" si="13"/>
        <v>NA</v>
      </c>
      <c r="AH75" s="429" t="str">
        <f t="shared" si="1"/>
        <v>NA</v>
      </c>
      <c r="AI75" s="426" t="str">
        <f t="shared" si="14"/>
        <v>NA</v>
      </c>
      <c r="AJ75" s="426" t="str">
        <f t="shared" si="15"/>
        <v>NA</v>
      </c>
      <c r="AK75" s="535" t="str">
        <f>IFERROR(INDEX('Current Tenant Policy-Reference'!Q:Q,MATCH('Unit Summary - Rent Roll'!AJ75,'Current Tenant Policy-Reference'!O:O,0)),"NA")</f>
        <v>NA</v>
      </c>
    </row>
    <row r="76" spans="2:37" ht="13.8" x14ac:dyDescent="0.3">
      <c r="B76" s="241">
        <v>50</v>
      </c>
      <c r="C76" s="600" t="s">
        <v>143</v>
      </c>
      <c r="D76" s="601"/>
      <c r="E76" s="190" t="s">
        <v>139</v>
      </c>
      <c r="F76" s="191">
        <v>0</v>
      </c>
      <c r="G76" s="244" t="s">
        <v>85</v>
      </c>
      <c r="H76" s="248">
        <v>0</v>
      </c>
      <c r="I76" s="380">
        <f t="shared" si="16"/>
        <v>0</v>
      </c>
      <c r="J76" s="255" t="s">
        <v>139</v>
      </c>
      <c r="K76" s="517" t="s">
        <v>139</v>
      </c>
      <c r="L76" s="406" t="s">
        <v>139</v>
      </c>
      <c r="M76" s="411">
        <v>0</v>
      </c>
      <c r="N76" s="287" t="s">
        <v>139</v>
      </c>
      <c r="O76" s="308" t="str">
        <f>IF(OR(M76=0,N76="NA"),"NA",IFERROR(INDEX('Data - Reference'!$B$37:$B$50,MATCH('Unit Summary - Rent Roll'!$M76,INDEX('Data - Reference'!$B$37:$J$50,,MATCH('Unit Summary - Rent Roll'!$N76,'Data - Reference'!$B$37:$J$37,0)),-1),1),"NA"))</f>
        <v>NA</v>
      </c>
      <c r="P76" s="244" t="s">
        <v>85</v>
      </c>
      <c r="Q76" s="244" t="s">
        <v>85</v>
      </c>
      <c r="R76" s="193">
        <v>0</v>
      </c>
      <c r="S76" s="370">
        <f t="shared" si="17"/>
        <v>0</v>
      </c>
      <c r="T76" s="101">
        <f t="shared" si="18"/>
        <v>0</v>
      </c>
      <c r="U76" s="193">
        <v>0</v>
      </c>
      <c r="V76" s="370">
        <f t="shared" si="19"/>
        <v>0</v>
      </c>
      <c r="W76" s="101">
        <f t="shared" si="8"/>
        <v>0</v>
      </c>
      <c r="X76" s="72">
        <f>IFERROR(IF(INDEX(AC$14:AC$18,MATCH($E76,$AB$14:$AB$18,0))&lt;&gt;0,INDEX(AC$14:AC$18,MATCH($E76,$AB$14:$AB$18,0)),
IF($M76="Market",0,IF($L76="HUD FMR",INDEX('Data - Reference'!$B$31:$G$31,MATCH($E76,'Data - Reference'!$B$9:$G$9,0)),INDEX('Data - Reference'!$B$9:$G$31,MATCH($K76,'Data - Reference'!$B$9:$B$31,0),MATCH($E76,'Data - Reference'!$B$9:$G$9,0))))),0)</f>
        <v>0</v>
      </c>
      <c r="Y76" s="72">
        <f>IFERROR(IF(INDEX(AD$14:AD$18,MATCH($E76,$AB$14:$AB$18,0))&lt;&gt;0,INDEX(AD$14:AD$18,MATCH($E76,$AB$14:$AB$18,0)),
IF($K76="None - Market",0,-INDEX('Data - Reference'!$B$32:$G$32,MATCH($E76,'Data - Reference'!$B$9:$G$9,0)))),0)</f>
        <v>0</v>
      </c>
      <c r="Z76" s="76">
        <f t="shared" si="20"/>
        <v>0</v>
      </c>
      <c r="AA76" s="67">
        <f t="shared" si="21"/>
        <v>0</v>
      </c>
      <c r="AB76" s="101">
        <f t="shared" si="10"/>
        <v>0</v>
      </c>
      <c r="AC76" s="84">
        <f t="shared" si="11"/>
        <v>0</v>
      </c>
      <c r="AD76" s="86">
        <f t="shared" si="22"/>
        <v>0</v>
      </c>
      <c r="AE76" s="101">
        <f t="shared" si="12"/>
        <v>0</v>
      </c>
      <c r="AF76" s="424" t="str">
        <f t="shared" si="0"/>
        <v>NA</v>
      </c>
      <c r="AG76" s="429" t="str">
        <f t="shared" si="13"/>
        <v>NA</v>
      </c>
      <c r="AH76" s="429" t="str">
        <f t="shared" si="1"/>
        <v>NA</v>
      </c>
      <c r="AI76" s="426" t="str">
        <f t="shared" si="14"/>
        <v>NA</v>
      </c>
      <c r="AJ76" s="426" t="str">
        <f t="shared" si="15"/>
        <v>NA</v>
      </c>
      <c r="AK76" s="535" t="str">
        <f>IFERROR(INDEX('Current Tenant Policy-Reference'!Q:Q,MATCH('Unit Summary - Rent Roll'!AJ76,'Current Tenant Policy-Reference'!O:O,0)),"NA")</f>
        <v>NA</v>
      </c>
    </row>
    <row r="77" spans="2:37" ht="13.8" x14ac:dyDescent="0.3">
      <c r="B77" s="241">
        <v>51</v>
      </c>
      <c r="C77" s="600" t="s">
        <v>143</v>
      </c>
      <c r="D77" s="601"/>
      <c r="E77" s="190" t="s">
        <v>139</v>
      </c>
      <c r="F77" s="191">
        <v>0</v>
      </c>
      <c r="G77" s="244" t="s">
        <v>85</v>
      </c>
      <c r="H77" s="248">
        <v>0</v>
      </c>
      <c r="I77" s="380">
        <f t="shared" si="16"/>
        <v>0</v>
      </c>
      <c r="J77" s="255" t="s">
        <v>139</v>
      </c>
      <c r="K77" s="517" t="s">
        <v>139</v>
      </c>
      <c r="L77" s="406" t="s">
        <v>139</v>
      </c>
      <c r="M77" s="411">
        <v>0</v>
      </c>
      <c r="N77" s="287" t="s">
        <v>139</v>
      </c>
      <c r="O77" s="308" t="str">
        <f>IF(OR(M77=0,N77="NA"),"NA",IFERROR(INDEX('Data - Reference'!$B$37:$B$50,MATCH('Unit Summary - Rent Roll'!$M77,INDEX('Data - Reference'!$B$37:$J$50,,MATCH('Unit Summary - Rent Roll'!$N77,'Data - Reference'!$B$37:$J$37,0)),-1),1),"NA"))</f>
        <v>NA</v>
      </c>
      <c r="P77" s="244" t="s">
        <v>85</v>
      </c>
      <c r="Q77" s="244" t="s">
        <v>85</v>
      </c>
      <c r="R77" s="193">
        <v>0</v>
      </c>
      <c r="S77" s="370">
        <f t="shared" si="17"/>
        <v>0</v>
      </c>
      <c r="T77" s="101">
        <f t="shared" si="18"/>
        <v>0</v>
      </c>
      <c r="U77" s="193">
        <v>0</v>
      </c>
      <c r="V77" s="370">
        <f t="shared" si="19"/>
        <v>0</v>
      </c>
      <c r="W77" s="101">
        <f t="shared" si="8"/>
        <v>0</v>
      </c>
      <c r="X77" s="72">
        <f>IFERROR(IF(INDEX(AC$14:AC$18,MATCH($E77,$AB$14:$AB$18,0))&lt;&gt;0,INDEX(AC$14:AC$18,MATCH($E77,$AB$14:$AB$18,0)),
IF($M77="Market",0,IF($L77="HUD FMR",INDEX('Data - Reference'!$B$31:$G$31,MATCH($E77,'Data - Reference'!$B$9:$G$9,0)),INDEX('Data - Reference'!$B$9:$G$31,MATCH($K77,'Data - Reference'!$B$9:$B$31,0),MATCH($E77,'Data - Reference'!$B$9:$G$9,0))))),0)</f>
        <v>0</v>
      </c>
      <c r="Y77" s="72">
        <f>IFERROR(IF(INDEX(AD$14:AD$18,MATCH($E77,$AB$14:$AB$18,0))&lt;&gt;0,INDEX(AD$14:AD$18,MATCH($E77,$AB$14:$AB$18,0)),
IF($K77="None - Market",0,-INDEX('Data - Reference'!$B$32:$G$32,MATCH($E77,'Data - Reference'!$B$9:$G$9,0)))),0)</f>
        <v>0</v>
      </c>
      <c r="Z77" s="76">
        <f t="shared" si="20"/>
        <v>0</v>
      </c>
      <c r="AA77" s="67">
        <f t="shared" si="21"/>
        <v>0</v>
      </c>
      <c r="AB77" s="101">
        <f t="shared" si="10"/>
        <v>0</v>
      </c>
      <c r="AC77" s="84">
        <f t="shared" si="11"/>
        <v>0</v>
      </c>
      <c r="AD77" s="86">
        <f t="shared" si="22"/>
        <v>0</v>
      </c>
      <c r="AE77" s="101">
        <f t="shared" si="12"/>
        <v>0</v>
      </c>
      <c r="AF77" s="424" t="str">
        <f t="shared" si="0"/>
        <v>NA</v>
      </c>
      <c r="AG77" s="429" t="str">
        <f t="shared" si="13"/>
        <v>NA</v>
      </c>
      <c r="AH77" s="429" t="str">
        <f t="shared" si="1"/>
        <v>NA</v>
      </c>
      <c r="AI77" s="426" t="str">
        <f t="shared" si="14"/>
        <v>NA</v>
      </c>
      <c r="AJ77" s="426" t="str">
        <f t="shared" si="15"/>
        <v>NA</v>
      </c>
      <c r="AK77" s="535" t="str">
        <f>IFERROR(INDEX('Current Tenant Policy-Reference'!Q:Q,MATCH('Unit Summary - Rent Roll'!AJ77,'Current Tenant Policy-Reference'!O:O,0)),"NA")</f>
        <v>NA</v>
      </c>
    </row>
    <row r="78" spans="2:37" ht="13.8" x14ac:dyDescent="0.3">
      <c r="B78" s="241">
        <v>52</v>
      </c>
      <c r="C78" s="600" t="s">
        <v>143</v>
      </c>
      <c r="D78" s="601"/>
      <c r="E78" s="190" t="s">
        <v>139</v>
      </c>
      <c r="F78" s="191">
        <v>0</v>
      </c>
      <c r="G78" s="244" t="s">
        <v>85</v>
      </c>
      <c r="H78" s="248">
        <v>0</v>
      </c>
      <c r="I78" s="380">
        <f t="shared" si="16"/>
        <v>0</v>
      </c>
      <c r="J78" s="255" t="s">
        <v>139</v>
      </c>
      <c r="K78" s="517" t="s">
        <v>139</v>
      </c>
      <c r="L78" s="406" t="s">
        <v>139</v>
      </c>
      <c r="M78" s="411">
        <v>0</v>
      </c>
      <c r="N78" s="287" t="s">
        <v>139</v>
      </c>
      <c r="O78" s="308" t="str">
        <f>IF(OR(M78=0,N78="NA"),"NA",IFERROR(INDEX('Data - Reference'!$B$37:$B$50,MATCH('Unit Summary - Rent Roll'!$M78,INDEX('Data - Reference'!$B$37:$J$50,,MATCH('Unit Summary - Rent Roll'!$N78,'Data - Reference'!$B$37:$J$37,0)),-1),1),"NA"))</f>
        <v>NA</v>
      </c>
      <c r="P78" s="244" t="s">
        <v>85</v>
      </c>
      <c r="Q78" s="244" t="s">
        <v>85</v>
      </c>
      <c r="R78" s="193">
        <v>0</v>
      </c>
      <c r="S78" s="370">
        <f t="shared" si="17"/>
        <v>0</v>
      </c>
      <c r="T78" s="101">
        <f t="shared" si="18"/>
        <v>0</v>
      </c>
      <c r="U78" s="193">
        <v>0</v>
      </c>
      <c r="V78" s="370">
        <f t="shared" si="19"/>
        <v>0</v>
      </c>
      <c r="W78" s="101">
        <f t="shared" si="8"/>
        <v>0</v>
      </c>
      <c r="X78" s="72">
        <f>IFERROR(IF(INDEX(AC$14:AC$18,MATCH($E78,$AB$14:$AB$18,0))&lt;&gt;0,INDEX(AC$14:AC$18,MATCH($E78,$AB$14:$AB$18,0)),
IF($M78="Market",0,IF($L78="HUD FMR",INDEX('Data - Reference'!$B$31:$G$31,MATCH($E78,'Data - Reference'!$B$9:$G$9,0)),INDEX('Data - Reference'!$B$9:$G$31,MATCH($K78,'Data - Reference'!$B$9:$B$31,0),MATCH($E78,'Data - Reference'!$B$9:$G$9,0))))),0)</f>
        <v>0</v>
      </c>
      <c r="Y78" s="72">
        <f>IFERROR(IF(INDEX(AD$14:AD$18,MATCH($E78,$AB$14:$AB$18,0))&lt;&gt;0,INDEX(AD$14:AD$18,MATCH($E78,$AB$14:$AB$18,0)),
IF($K78="None - Market",0,-INDEX('Data - Reference'!$B$32:$G$32,MATCH($E78,'Data - Reference'!$B$9:$G$9,0)))),0)</f>
        <v>0</v>
      </c>
      <c r="Z78" s="76">
        <f t="shared" si="20"/>
        <v>0</v>
      </c>
      <c r="AA78" s="67">
        <f t="shared" si="21"/>
        <v>0</v>
      </c>
      <c r="AB78" s="101">
        <f t="shared" si="10"/>
        <v>0</v>
      </c>
      <c r="AC78" s="84">
        <f t="shared" si="11"/>
        <v>0</v>
      </c>
      <c r="AD78" s="86">
        <f t="shared" si="22"/>
        <v>0</v>
      </c>
      <c r="AE78" s="101">
        <f t="shared" si="12"/>
        <v>0</v>
      </c>
      <c r="AF78" s="424" t="str">
        <f t="shared" si="0"/>
        <v>NA</v>
      </c>
      <c r="AG78" s="429" t="str">
        <f t="shared" si="13"/>
        <v>NA</v>
      </c>
      <c r="AH78" s="429" t="str">
        <f t="shared" si="1"/>
        <v>NA</v>
      </c>
      <c r="AI78" s="426" t="str">
        <f t="shared" si="14"/>
        <v>NA</v>
      </c>
      <c r="AJ78" s="426" t="str">
        <f t="shared" si="15"/>
        <v>NA</v>
      </c>
      <c r="AK78" s="535" t="str">
        <f>IFERROR(INDEX('Current Tenant Policy-Reference'!Q:Q,MATCH('Unit Summary - Rent Roll'!AJ78,'Current Tenant Policy-Reference'!O:O,0)),"NA")</f>
        <v>NA</v>
      </c>
    </row>
    <row r="79" spans="2:37" ht="13.8" x14ac:dyDescent="0.3">
      <c r="B79" s="241">
        <v>53</v>
      </c>
      <c r="C79" s="600" t="s">
        <v>143</v>
      </c>
      <c r="D79" s="601"/>
      <c r="E79" s="190" t="s">
        <v>139</v>
      </c>
      <c r="F79" s="191">
        <v>0</v>
      </c>
      <c r="G79" s="244" t="s">
        <v>85</v>
      </c>
      <c r="H79" s="248">
        <v>0</v>
      </c>
      <c r="I79" s="380">
        <f t="shared" si="16"/>
        <v>0</v>
      </c>
      <c r="J79" s="255" t="s">
        <v>139</v>
      </c>
      <c r="K79" s="517" t="s">
        <v>139</v>
      </c>
      <c r="L79" s="406" t="s">
        <v>139</v>
      </c>
      <c r="M79" s="411">
        <v>0</v>
      </c>
      <c r="N79" s="287" t="s">
        <v>139</v>
      </c>
      <c r="O79" s="308" t="str">
        <f>IF(OR(M79=0,N79="NA"),"NA",IFERROR(INDEX('Data - Reference'!$B$37:$B$50,MATCH('Unit Summary - Rent Roll'!$M79,INDEX('Data - Reference'!$B$37:$J$50,,MATCH('Unit Summary - Rent Roll'!$N79,'Data - Reference'!$B$37:$J$37,0)),-1),1),"NA"))</f>
        <v>NA</v>
      </c>
      <c r="P79" s="244" t="s">
        <v>85</v>
      </c>
      <c r="Q79" s="244" t="s">
        <v>85</v>
      </c>
      <c r="R79" s="193">
        <v>0</v>
      </c>
      <c r="S79" s="370">
        <f t="shared" si="17"/>
        <v>0</v>
      </c>
      <c r="T79" s="101">
        <f t="shared" si="18"/>
        <v>0</v>
      </c>
      <c r="U79" s="193">
        <v>0</v>
      </c>
      <c r="V79" s="370">
        <f t="shared" si="19"/>
        <v>0</v>
      </c>
      <c r="W79" s="101">
        <f t="shared" si="8"/>
        <v>0</v>
      </c>
      <c r="X79" s="72">
        <f>IFERROR(IF(INDEX(AC$14:AC$18,MATCH($E79,$AB$14:$AB$18,0))&lt;&gt;0,INDEX(AC$14:AC$18,MATCH($E79,$AB$14:$AB$18,0)),
IF($M79="Market",0,IF($L79="HUD FMR",INDEX('Data - Reference'!$B$31:$G$31,MATCH($E79,'Data - Reference'!$B$9:$G$9,0)),INDEX('Data - Reference'!$B$9:$G$31,MATCH($K79,'Data - Reference'!$B$9:$B$31,0),MATCH($E79,'Data - Reference'!$B$9:$G$9,0))))),0)</f>
        <v>0</v>
      </c>
      <c r="Y79" s="72">
        <f>IFERROR(IF(INDEX(AD$14:AD$18,MATCH($E79,$AB$14:$AB$18,0))&lt;&gt;0,INDEX(AD$14:AD$18,MATCH($E79,$AB$14:$AB$18,0)),
IF($K79="None - Market",0,-INDEX('Data - Reference'!$B$32:$G$32,MATCH($E79,'Data - Reference'!$B$9:$G$9,0)))),0)</f>
        <v>0</v>
      </c>
      <c r="Z79" s="76">
        <f t="shared" si="20"/>
        <v>0</v>
      </c>
      <c r="AA79" s="67">
        <f t="shared" si="21"/>
        <v>0</v>
      </c>
      <c r="AB79" s="101">
        <f t="shared" si="10"/>
        <v>0</v>
      </c>
      <c r="AC79" s="84">
        <f t="shared" si="11"/>
        <v>0</v>
      </c>
      <c r="AD79" s="86">
        <f t="shared" si="22"/>
        <v>0</v>
      </c>
      <c r="AE79" s="101">
        <f t="shared" si="12"/>
        <v>0</v>
      </c>
      <c r="AF79" s="424" t="str">
        <f t="shared" si="0"/>
        <v>NA</v>
      </c>
      <c r="AG79" s="429" t="str">
        <f t="shared" si="13"/>
        <v>NA</v>
      </c>
      <c r="AH79" s="429" t="str">
        <f t="shared" si="1"/>
        <v>NA</v>
      </c>
      <c r="AI79" s="426" t="str">
        <f t="shared" si="14"/>
        <v>NA</v>
      </c>
      <c r="AJ79" s="426" t="str">
        <f t="shared" si="15"/>
        <v>NA</v>
      </c>
      <c r="AK79" s="535" t="str">
        <f>IFERROR(INDEX('Current Tenant Policy-Reference'!Q:Q,MATCH('Unit Summary - Rent Roll'!AJ79,'Current Tenant Policy-Reference'!O:O,0)),"NA")</f>
        <v>NA</v>
      </c>
    </row>
    <row r="80" spans="2:37" ht="13.8" x14ac:dyDescent="0.3">
      <c r="B80" s="241">
        <v>54</v>
      </c>
      <c r="C80" s="600" t="s">
        <v>143</v>
      </c>
      <c r="D80" s="601"/>
      <c r="E80" s="190" t="s">
        <v>139</v>
      </c>
      <c r="F80" s="191">
        <v>0</v>
      </c>
      <c r="G80" s="244" t="s">
        <v>85</v>
      </c>
      <c r="H80" s="248">
        <v>0</v>
      </c>
      <c r="I80" s="380">
        <f t="shared" si="16"/>
        <v>0</v>
      </c>
      <c r="J80" s="255" t="s">
        <v>139</v>
      </c>
      <c r="K80" s="517" t="s">
        <v>139</v>
      </c>
      <c r="L80" s="406" t="s">
        <v>139</v>
      </c>
      <c r="M80" s="411">
        <v>0</v>
      </c>
      <c r="N80" s="287" t="s">
        <v>139</v>
      </c>
      <c r="O80" s="308" t="str">
        <f>IF(OR(M80=0,N80="NA"),"NA",IFERROR(INDEX('Data - Reference'!$B$37:$B$50,MATCH('Unit Summary - Rent Roll'!$M80,INDEX('Data - Reference'!$B$37:$J$50,,MATCH('Unit Summary - Rent Roll'!$N80,'Data - Reference'!$B$37:$J$37,0)),-1),1),"NA"))</f>
        <v>NA</v>
      </c>
      <c r="P80" s="244" t="s">
        <v>85</v>
      </c>
      <c r="Q80" s="244" t="s">
        <v>85</v>
      </c>
      <c r="R80" s="193">
        <v>0</v>
      </c>
      <c r="S80" s="370">
        <f t="shared" si="17"/>
        <v>0</v>
      </c>
      <c r="T80" s="101">
        <f t="shared" si="18"/>
        <v>0</v>
      </c>
      <c r="U80" s="193">
        <v>0</v>
      </c>
      <c r="V80" s="370">
        <f t="shared" si="19"/>
        <v>0</v>
      </c>
      <c r="W80" s="101">
        <f t="shared" si="8"/>
        <v>0</v>
      </c>
      <c r="X80" s="72">
        <f>IFERROR(IF(INDEX(AC$14:AC$18,MATCH($E80,$AB$14:$AB$18,0))&lt;&gt;0,INDEX(AC$14:AC$18,MATCH($E80,$AB$14:$AB$18,0)),
IF($M80="Market",0,IF($L80="HUD FMR",INDEX('Data - Reference'!$B$31:$G$31,MATCH($E80,'Data - Reference'!$B$9:$G$9,0)),INDEX('Data - Reference'!$B$9:$G$31,MATCH($K80,'Data - Reference'!$B$9:$B$31,0),MATCH($E80,'Data - Reference'!$B$9:$G$9,0))))),0)</f>
        <v>0</v>
      </c>
      <c r="Y80" s="72">
        <f>IFERROR(IF(INDEX(AD$14:AD$18,MATCH($E80,$AB$14:$AB$18,0))&lt;&gt;0,INDEX(AD$14:AD$18,MATCH($E80,$AB$14:$AB$18,0)),
IF($K80="None - Market",0,-INDEX('Data - Reference'!$B$32:$G$32,MATCH($E80,'Data - Reference'!$B$9:$G$9,0)))),0)</f>
        <v>0</v>
      </c>
      <c r="Z80" s="76">
        <f t="shared" si="20"/>
        <v>0</v>
      </c>
      <c r="AA80" s="67">
        <f t="shared" si="21"/>
        <v>0</v>
      </c>
      <c r="AB80" s="101">
        <f t="shared" si="10"/>
        <v>0</v>
      </c>
      <c r="AC80" s="84">
        <f t="shared" si="11"/>
        <v>0</v>
      </c>
      <c r="AD80" s="86">
        <f t="shared" si="22"/>
        <v>0</v>
      </c>
      <c r="AE80" s="101">
        <f t="shared" si="12"/>
        <v>0</v>
      </c>
      <c r="AF80" s="424" t="str">
        <f t="shared" si="0"/>
        <v>NA</v>
      </c>
      <c r="AG80" s="429" t="str">
        <f t="shared" si="13"/>
        <v>NA</v>
      </c>
      <c r="AH80" s="429" t="str">
        <f t="shared" si="1"/>
        <v>NA</v>
      </c>
      <c r="AI80" s="426" t="str">
        <f t="shared" si="14"/>
        <v>NA</v>
      </c>
      <c r="AJ80" s="426" t="str">
        <f t="shared" si="15"/>
        <v>NA</v>
      </c>
      <c r="AK80" s="535" t="str">
        <f>IFERROR(INDEX('Current Tenant Policy-Reference'!Q:Q,MATCH('Unit Summary - Rent Roll'!AJ80,'Current Tenant Policy-Reference'!O:O,0)),"NA")</f>
        <v>NA</v>
      </c>
    </row>
    <row r="81" spans="2:37" ht="13.8" x14ac:dyDescent="0.3">
      <c r="B81" s="241">
        <v>55</v>
      </c>
      <c r="C81" s="600" t="s">
        <v>143</v>
      </c>
      <c r="D81" s="601"/>
      <c r="E81" s="190" t="s">
        <v>139</v>
      </c>
      <c r="F81" s="191">
        <v>0</v>
      </c>
      <c r="G81" s="244" t="s">
        <v>85</v>
      </c>
      <c r="H81" s="248">
        <v>0</v>
      </c>
      <c r="I81" s="380">
        <f t="shared" si="16"/>
        <v>0</v>
      </c>
      <c r="J81" s="255" t="s">
        <v>139</v>
      </c>
      <c r="K81" s="517" t="s">
        <v>139</v>
      </c>
      <c r="L81" s="406" t="s">
        <v>139</v>
      </c>
      <c r="M81" s="411">
        <v>0</v>
      </c>
      <c r="N81" s="287" t="s">
        <v>139</v>
      </c>
      <c r="O81" s="308" t="str">
        <f>IF(OR(M81=0,N81="NA"),"NA",IFERROR(INDEX('Data - Reference'!$B$37:$B$50,MATCH('Unit Summary - Rent Roll'!$M81,INDEX('Data - Reference'!$B$37:$J$50,,MATCH('Unit Summary - Rent Roll'!$N81,'Data - Reference'!$B$37:$J$37,0)),-1),1),"NA"))</f>
        <v>NA</v>
      </c>
      <c r="P81" s="244" t="s">
        <v>85</v>
      </c>
      <c r="Q81" s="244" t="s">
        <v>85</v>
      </c>
      <c r="R81" s="193">
        <v>0</v>
      </c>
      <c r="S81" s="370">
        <f t="shared" si="17"/>
        <v>0</v>
      </c>
      <c r="T81" s="101">
        <f t="shared" si="18"/>
        <v>0</v>
      </c>
      <c r="U81" s="193">
        <v>0</v>
      </c>
      <c r="V81" s="370">
        <f t="shared" si="19"/>
        <v>0</v>
      </c>
      <c r="W81" s="101">
        <f t="shared" si="8"/>
        <v>0</v>
      </c>
      <c r="X81" s="72">
        <f>IFERROR(IF(INDEX(AC$14:AC$18,MATCH($E81,$AB$14:$AB$18,0))&lt;&gt;0,INDEX(AC$14:AC$18,MATCH($E81,$AB$14:$AB$18,0)),
IF($M81="Market",0,IF($L81="HUD FMR",INDEX('Data - Reference'!$B$31:$G$31,MATCH($E81,'Data - Reference'!$B$9:$G$9,0)),INDEX('Data - Reference'!$B$9:$G$31,MATCH($K81,'Data - Reference'!$B$9:$B$31,0),MATCH($E81,'Data - Reference'!$B$9:$G$9,0))))),0)</f>
        <v>0</v>
      </c>
      <c r="Y81" s="72">
        <f>IFERROR(IF(INDEX(AD$14:AD$18,MATCH($E81,$AB$14:$AB$18,0))&lt;&gt;0,INDEX(AD$14:AD$18,MATCH($E81,$AB$14:$AB$18,0)),
IF($K81="None - Market",0,-INDEX('Data - Reference'!$B$32:$G$32,MATCH($E81,'Data - Reference'!$B$9:$G$9,0)))),0)</f>
        <v>0</v>
      </c>
      <c r="Z81" s="76">
        <f t="shared" si="20"/>
        <v>0</v>
      </c>
      <c r="AA81" s="67">
        <f t="shared" si="21"/>
        <v>0</v>
      </c>
      <c r="AB81" s="101">
        <f t="shared" si="10"/>
        <v>0</v>
      </c>
      <c r="AC81" s="84">
        <f t="shared" si="11"/>
        <v>0</v>
      </c>
      <c r="AD81" s="86">
        <f t="shared" si="22"/>
        <v>0</v>
      </c>
      <c r="AE81" s="101">
        <f t="shared" si="12"/>
        <v>0</v>
      </c>
      <c r="AF81" s="424" t="str">
        <f t="shared" si="0"/>
        <v>NA</v>
      </c>
      <c r="AG81" s="429" t="str">
        <f t="shared" si="13"/>
        <v>NA</v>
      </c>
      <c r="AH81" s="429" t="str">
        <f t="shared" si="1"/>
        <v>NA</v>
      </c>
      <c r="AI81" s="426" t="str">
        <f t="shared" si="14"/>
        <v>NA</v>
      </c>
      <c r="AJ81" s="426" t="str">
        <f t="shared" si="15"/>
        <v>NA</v>
      </c>
      <c r="AK81" s="535" t="str">
        <f>IFERROR(INDEX('Current Tenant Policy-Reference'!Q:Q,MATCH('Unit Summary - Rent Roll'!AJ81,'Current Tenant Policy-Reference'!O:O,0)),"NA")</f>
        <v>NA</v>
      </c>
    </row>
    <row r="82" spans="2:37" ht="13.8" x14ac:dyDescent="0.3">
      <c r="B82" s="241">
        <v>56</v>
      </c>
      <c r="C82" s="600" t="s">
        <v>143</v>
      </c>
      <c r="D82" s="601"/>
      <c r="E82" s="190" t="s">
        <v>139</v>
      </c>
      <c r="F82" s="191">
        <v>0</v>
      </c>
      <c r="G82" s="244" t="s">
        <v>85</v>
      </c>
      <c r="H82" s="248">
        <v>0</v>
      </c>
      <c r="I82" s="380">
        <f t="shared" si="16"/>
        <v>0</v>
      </c>
      <c r="J82" s="255" t="s">
        <v>139</v>
      </c>
      <c r="K82" s="517" t="s">
        <v>139</v>
      </c>
      <c r="L82" s="406" t="s">
        <v>139</v>
      </c>
      <c r="M82" s="411">
        <v>0</v>
      </c>
      <c r="N82" s="287" t="s">
        <v>139</v>
      </c>
      <c r="O82" s="308" t="str">
        <f>IF(OR(M82=0,N82="NA"),"NA",IFERROR(INDEX('Data - Reference'!$B$37:$B$50,MATCH('Unit Summary - Rent Roll'!$M82,INDEX('Data - Reference'!$B$37:$J$50,,MATCH('Unit Summary - Rent Roll'!$N82,'Data - Reference'!$B$37:$J$37,0)),-1),1),"NA"))</f>
        <v>NA</v>
      </c>
      <c r="P82" s="244" t="s">
        <v>85</v>
      </c>
      <c r="Q82" s="244" t="s">
        <v>85</v>
      </c>
      <c r="R82" s="193">
        <v>0</v>
      </c>
      <c r="S82" s="370">
        <f t="shared" si="17"/>
        <v>0</v>
      </c>
      <c r="T82" s="101">
        <f t="shared" si="18"/>
        <v>0</v>
      </c>
      <c r="U82" s="193">
        <v>0</v>
      </c>
      <c r="V82" s="370">
        <f t="shared" si="19"/>
        <v>0</v>
      </c>
      <c r="W82" s="101">
        <f t="shared" si="8"/>
        <v>0</v>
      </c>
      <c r="X82" s="72">
        <f>IFERROR(IF(INDEX(AC$14:AC$18,MATCH($E82,$AB$14:$AB$18,0))&lt;&gt;0,INDEX(AC$14:AC$18,MATCH($E82,$AB$14:$AB$18,0)),
IF($M82="Market",0,IF($L82="HUD FMR",INDEX('Data - Reference'!$B$31:$G$31,MATCH($E82,'Data - Reference'!$B$9:$G$9,0)),INDEX('Data - Reference'!$B$9:$G$31,MATCH($K82,'Data - Reference'!$B$9:$B$31,0),MATCH($E82,'Data - Reference'!$B$9:$G$9,0))))),0)</f>
        <v>0</v>
      </c>
      <c r="Y82" s="72">
        <f>IFERROR(IF(INDEX(AD$14:AD$18,MATCH($E82,$AB$14:$AB$18,0))&lt;&gt;0,INDEX(AD$14:AD$18,MATCH($E82,$AB$14:$AB$18,0)),
IF($K82="None - Market",0,-INDEX('Data - Reference'!$B$32:$G$32,MATCH($E82,'Data - Reference'!$B$9:$G$9,0)))),0)</f>
        <v>0</v>
      </c>
      <c r="Z82" s="76">
        <f t="shared" si="20"/>
        <v>0</v>
      </c>
      <c r="AA82" s="67">
        <f t="shared" si="21"/>
        <v>0</v>
      </c>
      <c r="AB82" s="101">
        <f t="shared" si="10"/>
        <v>0</v>
      </c>
      <c r="AC82" s="84">
        <f t="shared" si="11"/>
        <v>0</v>
      </c>
      <c r="AD82" s="86">
        <f t="shared" si="22"/>
        <v>0</v>
      </c>
      <c r="AE82" s="101">
        <f t="shared" si="12"/>
        <v>0</v>
      </c>
      <c r="AF82" s="424" t="str">
        <f t="shared" si="0"/>
        <v>NA</v>
      </c>
      <c r="AG82" s="429" t="str">
        <f t="shared" si="13"/>
        <v>NA</v>
      </c>
      <c r="AH82" s="429" t="str">
        <f t="shared" si="1"/>
        <v>NA</v>
      </c>
      <c r="AI82" s="426" t="str">
        <f t="shared" si="14"/>
        <v>NA</v>
      </c>
      <c r="AJ82" s="426" t="str">
        <f t="shared" si="15"/>
        <v>NA</v>
      </c>
      <c r="AK82" s="535" t="str">
        <f>IFERROR(INDEX('Current Tenant Policy-Reference'!Q:Q,MATCH('Unit Summary - Rent Roll'!AJ82,'Current Tenant Policy-Reference'!O:O,0)),"NA")</f>
        <v>NA</v>
      </c>
    </row>
    <row r="83" spans="2:37" ht="13.8" x14ac:dyDescent="0.3">
      <c r="B83" s="241">
        <v>57</v>
      </c>
      <c r="C83" s="600" t="s">
        <v>143</v>
      </c>
      <c r="D83" s="601"/>
      <c r="E83" s="190" t="s">
        <v>139</v>
      </c>
      <c r="F83" s="191">
        <v>0</v>
      </c>
      <c r="G83" s="244" t="s">
        <v>85</v>
      </c>
      <c r="H83" s="248">
        <v>0</v>
      </c>
      <c r="I83" s="380">
        <f t="shared" si="16"/>
        <v>0</v>
      </c>
      <c r="J83" s="255" t="s">
        <v>139</v>
      </c>
      <c r="K83" s="517" t="s">
        <v>139</v>
      </c>
      <c r="L83" s="406" t="s">
        <v>139</v>
      </c>
      <c r="M83" s="411">
        <v>0</v>
      </c>
      <c r="N83" s="287" t="s">
        <v>139</v>
      </c>
      <c r="O83" s="308" t="str">
        <f>IF(OR(M83=0,N83="NA"),"NA",IFERROR(INDEX('Data - Reference'!$B$37:$B$50,MATCH('Unit Summary - Rent Roll'!$M83,INDEX('Data - Reference'!$B$37:$J$50,,MATCH('Unit Summary - Rent Roll'!$N83,'Data - Reference'!$B$37:$J$37,0)),-1),1),"NA"))</f>
        <v>NA</v>
      </c>
      <c r="P83" s="244" t="s">
        <v>85</v>
      </c>
      <c r="Q83" s="244" t="s">
        <v>85</v>
      </c>
      <c r="R83" s="193">
        <v>0</v>
      </c>
      <c r="S83" s="370">
        <f t="shared" si="17"/>
        <v>0</v>
      </c>
      <c r="T83" s="101">
        <f t="shared" si="18"/>
        <v>0</v>
      </c>
      <c r="U83" s="193">
        <v>0</v>
      </c>
      <c r="V83" s="370">
        <f t="shared" si="19"/>
        <v>0</v>
      </c>
      <c r="W83" s="101">
        <f t="shared" si="8"/>
        <v>0</v>
      </c>
      <c r="X83" s="72">
        <f>IFERROR(IF(INDEX(AC$14:AC$18,MATCH($E83,$AB$14:$AB$18,0))&lt;&gt;0,INDEX(AC$14:AC$18,MATCH($E83,$AB$14:$AB$18,0)),
IF($M83="Market",0,IF($L83="HUD FMR",INDEX('Data - Reference'!$B$31:$G$31,MATCH($E83,'Data - Reference'!$B$9:$G$9,0)),INDEX('Data - Reference'!$B$9:$G$31,MATCH($K83,'Data - Reference'!$B$9:$B$31,0),MATCH($E83,'Data - Reference'!$B$9:$G$9,0))))),0)</f>
        <v>0</v>
      </c>
      <c r="Y83" s="72">
        <f>IFERROR(IF(INDEX(AD$14:AD$18,MATCH($E83,$AB$14:$AB$18,0))&lt;&gt;0,INDEX(AD$14:AD$18,MATCH($E83,$AB$14:$AB$18,0)),
IF($K83="None - Market",0,-INDEX('Data - Reference'!$B$32:$G$32,MATCH($E83,'Data - Reference'!$B$9:$G$9,0)))),0)</f>
        <v>0</v>
      </c>
      <c r="Z83" s="76">
        <f t="shared" si="20"/>
        <v>0</v>
      </c>
      <c r="AA83" s="67">
        <f t="shared" si="21"/>
        <v>0</v>
      </c>
      <c r="AB83" s="101">
        <f t="shared" si="10"/>
        <v>0</v>
      </c>
      <c r="AC83" s="84">
        <f t="shared" si="11"/>
        <v>0</v>
      </c>
      <c r="AD83" s="86">
        <f t="shared" si="22"/>
        <v>0</v>
      </c>
      <c r="AE83" s="101">
        <f t="shared" si="12"/>
        <v>0</v>
      </c>
      <c r="AF83" s="424" t="str">
        <f t="shared" si="0"/>
        <v>NA</v>
      </c>
      <c r="AG83" s="429" t="str">
        <f t="shared" si="13"/>
        <v>NA</v>
      </c>
      <c r="AH83" s="429" t="str">
        <f t="shared" si="1"/>
        <v>NA</v>
      </c>
      <c r="AI83" s="426" t="str">
        <f t="shared" si="14"/>
        <v>NA</v>
      </c>
      <c r="AJ83" s="426" t="str">
        <f t="shared" si="15"/>
        <v>NA</v>
      </c>
      <c r="AK83" s="535" t="str">
        <f>IFERROR(INDEX('Current Tenant Policy-Reference'!Q:Q,MATCH('Unit Summary - Rent Roll'!AJ83,'Current Tenant Policy-Reference'!O:O,0)),"NA")</f>
        <v>NA</v>
      </c>
    </row>
    <row r="84" spans="2:37" ht="13.8" x14ac:dyDescent="0.3">
      <c r="B84" s="241">
        <v>58</v>
      </c>
      <c r="C84" s="600" t="s">
        <v>143</v>
      </c>
      <c r="D84" s="601"/>
      <c r="E84" s="190" t="s">
        <v>139</v>
      </c>
      <c r="F84" s="191">
        <v>0</v>
      </c>
      <c r="G84" s="244" t="s">
        <v>85</v>
      </c>
      <c r="H84" s="248">
        <v>0</v>
      </c>
      <c r="I84" s="380">
        <f t="shared" si="16"/>
        <v>0</v>
      </c>
      <c r="J84" s="255" t="s">
        <v>139</v>
      </c>
      <c r="K84" s="517" t="s">
        <v>139</v>
      </c>
      <c r="L84" s="406" t="s">
        <v>139</v>
      </c>
      <c r="M84" s="411">
        <v>0</v>
      </c>
      <c r="N84" s="287" t="s">
        <v>139</v>
      </c>
      <c r="O84" s="308" t="str">
        <f>IF(OR(M84=0,N84="NA"),"NA",IFERROR(INDEX('Data - Reference'!$B$37:$B$50,MATCH('Unit Summary - Rent Roll'!$M84,INDEX('Data - Reference'!$B$37:$J$50,,MATCH('Unit Summary - Rent Roll'!$N84,'Data - Reference'!$B$37:$J$37,0)),-1),1),"NA"))</f>
        <v>NA</v>
      </c>
      <c r="P84" s="244" t="s">
        <v>85</v>
      </c>
      <c r="Q84" s="244" t="s">
        <v>85</v>
      </c>
      <c r="R84" s="193">
        <v>0</v>
      </c>
      <c r="S84" s="370">
        <f t="shared" si="17"/>
        <v>0</v>
      </c>
      <c r="T84" s="101">
        <f t="shared" si="18"/>
        <v>0</v>
      </c>
      <c r="U84" s="193">
        <v>0</v>
      </c>
      <c r="V84" s="370">
        <f t="shared" si="19"/>
        <v>0</v>
      </c>
      <c r="W84" s="101">
        <f t="shared" si="8"/>
        <v>0</v>
      </c>
      <c r="X84" s="72">
        <f>IFERROR(IF(INDEX(AC$14:AC$18,MATCH($E84,$AB$14:$AB$18,0))&lt;&gt;0,INDEX(AC$14:AC$18,MATCH($E84,$AB$14:$AB$18,0)),
IF($M84="Market",0,IF($L84="HUD FMR",INDEX('Data - Reference'!$B$31:$G$31,MATCH($E84,'Data - Reference'!$B$9:$G$9,0)),INDEX('Data - Reference'!$B$9:$G$31,MATCH($K84,'Data - Reference'!$B$9:$B$31,0),MATCH($E84,'Data - Reference'!$B$9:$G$9,0))))),0)</f>
        <v>0</v>
      </c>
      <c r="Y84" s="72">
        <f>IFERROR(IF(INDEX(AD$14:AD$18,MATCH($E84,$AB$14:$AB$18,0))&lt;&gt;0,INDEX(AD$14:AD$18,MATCH($E84,$AB$14:$AB$18,0)),
IF($K84="None - Market",0,-INDEX('Data - Reference'!$B$32:$G$32,MATCH($E84,'Data - Reference'!$B$9:$G$9,0)))),0)</f>
        <v>0</v>
      </c>
      <c r="Z84" s="76">
        <f t="shared" si="20"/>
        <v>0</v>
      </c>
      <c r="AA84" s="67">
        <f t="shared" si="21"/>
        <v>0</v>
      </c>
      <c r="AB84" s="101">
        <f t="shared" si="10"/>
        <v>0</v>
      </c>
      <c r="AC84" s="84">
        <f t="shared" si="11"/>
        <v>0</v>
      </c>
      <c r="AD84" s="86">
        <f t="shared" si="22"/>
        <v>0</v>
      </c>
      <c r="AE84" s="101">
        <f t="shared" si="12"/>
        <v>0</v>
      </c>
      <c r="AF84" s="424" t="str">
        <f t="shared" si="0"/>
        <v>NA</v>
      </c>
      <c r="AG84" s="429" t="str">
        <f t="shared" si="13"/>
        <v>NA</v>
      </c>
      <c r="AH84" s="429" t="str">
        <f t="shared" si="1"/>
        <v>NA</v>
      </c>
      <c r="AI84" s="426" t="str">
        <f t="shared" si="14"/>
        <v>NA</v>
      </c>
      <c r="AJ84" s="426" t="str">
        <f t="shared" si="15"/>
        <v>NA</v>
      </c>
      <c r="AK84" s="535" t="str">
        <f>IFERROR(INDEX('Current Tenant Policy-Reference'!Q:Q,MATCH('Unit Summary - Rent Roll'!AJ84,'Current Tenant Policy-Reference'!O:O,0)),"NA")</f>
        <v>NA</v>
      </c>
    </row>
    <row r="85" spans="2:37" ht="13.8" x14ac:dyDescent="0.3">
      <c r="B85" s="241">
        <v>59</v>
      </c>
      <c r="C85" s="600" t="s">
        <v>143</v>
      </c>
      <c r="D85" s="601"/>
      <c r="E85" s="190" t="s">
        <v>139</v>
      </c>
      <c r="F85" s="191">
        <v>0</v>
      </c>
      <c r="G85" s="244" t="s">
        <v>85</v>
      </c>
      <c r="H85" s="248">
        <v>0</v>
      </c>
      <c r="I85" s="380">
        <f t="shared" si="16"/>
        <v>0</v>
      </c>
      <c r="J85" s="255" t="s">
        <v>139</v>
      </c>
      <c r="K85" s="517" t="s">
        <v>139</v>
      </c>
      <c r="L85" s="406" t="s">
        <v>139</v>
      </c>
      <c r="M85" s="411">
        <v>0</v>
      </c>
      <c r="N85" s="287" t="s">
        <v>139</v>
      </c>
      <c r="O85" s="308" t="str">
        <f>IF(OR(M85=0,N85="NA"),"NA",IFERROR(INDEX('Data - Reference'!$B$37:$B$50,MATCH('Unit Summary - Rent Roll'!$M85,INDEX('Data - Reference'!$B$37:$J$50,,MATCH('Unit Summary - Rent Roll'!$N85,'Data - Reference'!$B$37:$J$37,0)),-1),1),"NA"))</f>
        <v>NA</v>
      </c>
      <c r="P85" s="244" t="s">
        <v>85</v>
      </c>
      <c r="Q85" s="244" t="s">
        <v>85</v>
      </c>
      <c r="R85" s="193">
        <v>0</v>
      </c>
      <c r="S85" s="370">
        <f t="shared" si="17"/>
        <v>0</v>
      </c>
      <c r="T85" s="101">
        <f t="shared" si="18"/>
        <v>0</v>
      </c>
      <c r="U85" s="193">
        <v>0</v>
      </c>
      <c r="V85" s="370">
        <f t="shared" si="19"/>
        <v>0</v>
      </c>
      <c r="W85" s="101">
        <f t="shared" si="8"/>
        <v>0</v>
      </c>
      <c r="X85" s="72">
        <f>IFERROR(IF(INDEX(AC$14:AC$18,MATCH($E85,$AB$14:$AB$18,0))&lt;&gt;0,INDEX(AC$14:AC$18,MATCH($E85,$AB$14:$AB$18,0)),
IF($M85="Market",0,IF($L85="HUD FMR",INDEX('Data - Reference'!$B$31:$G$31,MATCH($E85,'Data - Reference'!$B$9:$G$9,0)),INDEX('Data - Reference'!$B$9:$G$31,MATCH($K85,'Data - Reference'!$B$9:$B$31,0),MATCH($E85,'Data - Reference'!$B$9:$G$9,0))))),0)</f>
        <v>0</v>
      </c>
      <c r="Y85" s="72">
        <f>IFERROR(IF(INDEX(AD$14:AD$18,MATCH($E85,$AB$14:$AB$18,0))&lt;&gt;0,INDEX(AD$14:AD$18,MATCH($E85,$AB$14:$AB$18,0)),
IF($K85="None - Market",0,-INDEX('Data - Reference'!$B$32:$G$32,MATCH($E85,'Data - Reference'!$B$9:$G$9,0)))),0)</f>
        <v>0</v>
      </c>
      <c r="Z85" s="76">
        <f t="shared" si="20"/>
        <v>0</v>
      </c>
      <c r="AA85" s="67">
        <f t="shared" si="21"/>
        <v>0</v>
      </c>
      <c r="AB85" s="101">
        <f t="shared" si="10"/>
        <v>0</v>
      </c>
      <c r="AC85" s="84">
        <f t="shared" si="11"/>
        <v>0</v>
      </c>
      <c r="AD85" s="86">
        <f t="shared" si="22"/>
        <v>0</v>
      </c>
      <c r="AE85" s="101">
        <f t="shared" si="12"/>
        <v>0</v>
      </c>
      <c r="AF85" s="424" t="str">
        <f t="shared" si="0"/>
        <v>NA</v>
      </c>
      <c r="AG85" s="429" t="str">
        <f t="shared" si="13"/>
        <v>NA</v>
      </c>
      <c r="AH85" s="429" t="str">
        <f t="shared" si="1"/>
        <v>NA</v>
      </c>
      <c r="AI85" s="426" t="str">
        <f t="shared" si="14"/>
        <v>NA</v>
      </c>
      <c r="AJ85" s="426" t="str">
        <f t="shared" si="15"/>
        <v>NA</v>
      </c>
      <c r="AK85" s="535" t="str">
        <f>IFERROR(INDEX('Current Tenant Policy-Reference'!Q:Q,MATCH('Unit Summary - Rent Roll'!AJ85,'Current Tenant Policy-Reference'!O:O,0)),"NA")</f>
        <v>NA</v>
      </c>
    </row>
    <row r="86" spans="2:37" ht="13.8" x14ac:dyDescent="0.3">
      <c r="B86" s="241">
        <v>60</v>
      </c>
      <c r="C86" s="600" t="s">
        <v>143</v>
      </c>
      <c r="D86" s="601"/>
      <c r="E86" s="190" t="s">
        <v>139</v>
      </c>
      <c r="F86" s="191">
        <v>0</v>
      </c>
      <c r="G86" s="244" t="s">
        <v>85</v>
      </c>
      <c r="H86" s="248">
        <v>0</v>
      </c>
      <c r="I86" s="380">
        <f t="shared" si="16"/>
        <v>0</v>
      </c>
      <c r="J86" s="255" t="s">
        <v>139</v>
      </c>
      <c r="K86" s="517" t="s">
        <v>139</v>
      </c>
      <c r="L86" s="406" t="s">
        <v>139</v>
      </c>
      <c r="M86" s="411">
        <v>0</v>
      </c>
      <c r="N86" s="287" t="s">
        <v>139</v>
      </c>
      <c r="O86" s="308" t="str">
        <f>IF(OR(M86=0,N86="NA"),"NA",IFERROR(INDEX('Data - Reference'!$B$37:$B$50,MATCH('Unit Summary - Rent Roll'!$M86,INDEX('Data - Reference'!$B$37:$J$50,,MATCH('Unit Summary - Rent Roll'!$N86,'Data - Reference'!$B$37:$J$37,0)),-1),1),"NA"))</f>
        <v>NA</v>
      </c>
      <c r="P86" s="244" t="s">
        <v>85</v>
      </c>
      <c r="Q86" s="244" t="s">
        <v>85</v>
      </c>
      <c r="R86" s="193">
        <v>0</v>
      </c>
      <c r="S86" s="370">
        <f t="shared" si="17"/>
        <v>0</v>
      </c>
      <c r="T86" s="101">
        <f t="shared" si="18"/>
        <v>0</v>
      </c>
      <c r="U86" s="193">
        <v>0</v>
      </c>
      <c r="V86" s="370">
        <f t="shared" si="19"/>
        <v>0</v>
      </c>
      <c r="W86" s="101">
        <f t="shared" si="8"/>
        <v>0</v>
      </c>
      <c r="X86" s="72">
        <f>IFERROR(IF(INDEX(AC$14:AC$18,MATCH($E86,$AB$14:$AB$18,0))&lt;&gt;0,INDEX(AC$14:AC$18,MATCH($E86,$AB$14:$AB$18,0)),
IF($M86="Market",0,IF($L86="HUD FMR",INDEX('Data - Reference'!$B$31:$G$31,MATCH($E86,'Data - Reference'!$B$9:$G$9,0)),INDEX('Data - Reference'!$B$9:$G$31,MATCH($K86,'Data - Reference'!$B$9:$B$31,0),MATCH($E86,'Data - Reference'!$B$9:$G$9,0))))),0)</f>
        <v>0</v>
      </c>
      <c r="Y86" s="72">
        <f>IFERROR(IF(INDEX(AD$14:AD$18,MATCH($E86,$AB$14:$AB$18,0))&lt;&gt;0,INDEX(AD$14:AD$18,MATCH($E86,$AB$14:$AB$18,0)),
IF($K86="None - Market",0,-INDEX('Data - Reference'!$B$32:$G$32,MATCH($E86,'Data - Reference'!$B$9:$G$9,0)))),0)</f>
        <v>0</v>
      </c>
      <c r="Z86" s="76">
        <f t="shared" si="20"/>
        <v>0</v>
      </c>
      <c r="AA86" s="67">
        <f t="shared" si="21"/>
        <v>0</v>
      </c>
      <c r="AB86" s="101">
        <f t="shared" si="10"/>
        <v>0</v>
      </c>
      <c r="AC86" s="84">
        <f t="shared" si="11"/>
        <v>0</v>
      </c>
      <c r="AD86" s="86">
        <f t="shared" si="22"/>
        <v>0</v>
      </c>
      <c r="AE86" s="101">
        <f t="shared" si="12"/>
        <v>0</v>
      </c>
      <c r="AF86" s="424" t="str">
        <f t="shared" si="0"/>
        <v>NA</v>
      </c>
      <c r="AG86" s="429" t="str">
        <f t="shared" si="13"/>
        <v>NA</v>
      </c>
      <c r="AH86" s="429" t="str">
        <f t="shared" si="1"/>
        <v>NA</v>
      </c>
      <c r="AI86" s="426" t="str">
        <f t="shared" si="14"/>
        <v>NA</v>
      </c>
      <c r="AJ86" s="426" t="str">
        <f t="shared" si="15"/>
        <v>NA</v>
      </c>
      <c r="AK86" s="535" t="str">
        <f>IFERROR(INDEX('Current Tenant Policy-Reference'!Q:Q,MATCH('Unit Summary - Rent Roll'!AJ86,'Current Tenant Policy-Reference'!O:O,0)),"NA")</f>
        <v>NA</v>
      </c>
    </row>
    <row r="87" spans="2:37" ht="13.8" x14ac:dyDescent="0.3">
      <c r="B87" s="241">
        <v>61</v>
      </c>
      <c r="C87" s="600" t="s">
        <v>143</v>
      </c>
      <c r="D87" s="601"/>
      <c r="E87" s="190" t="s">
        <v>139</v>
      </c>
      <c r="F87" s="191">
        <v>0</v>
      </c>
      <c r="G87" s="244" t="s">
        <v>85</v>
      </c>
      <c r="H87" s="248">
        <v>0</v>
      </c>
      <c r="I87" s="380">
        <f t="shared" si="16"/>
        <v>0</v>
      </c>
      <c r="J87" s="255" t="s">
        <v>139</v>
      </c>
      <c r="K87" s="517" t="s">
        <v>139</v>
      </c>
      <c r="L87" s="406" t="s">
        <v>139</v>
      </c>
      <c r="M87" s="411">
        <v>0</v>
      </c>
      <c r="N87" s="287" t="s">
        <v>139</v>
      </c>
      <c r="O87" s="308" t="str">
        <f>IF(OR(M87=0,N87="NA"),"NA",IFERROR(INDEX('Data - Reference'!$B$37:$B$50,MATCH('Unit Summary - Rent Roll'!$M87,INDEX('Data - Reference'!$B$37:$J$50,,MATCH('Unit Summary - Rent Roll'!$N87,'Data - Reference'!$B$37:$J$37,0)),-1),1),"NA"))</f>
        <v>NA</v>
      </c>
      <c r="P87" s="244" t="s">
        <v>85</v>
      </c>
      <c r="Q87" s="244" t="s">
        <v>85</v>
      </c>
      <c r="R87" s="193">
        <v>0</v>
      </c>
      <c r="S87" s="370">
        <f t="shared" si="17"/>
        <v>0</v>
      </c>
      <c r="T87" s="101">
        <f t="shared" si="18"/>
        <v>0</v>
      </c>
      <c r="U87" s="193">
        <v>0</v>
      </c>
      <c r="V87" s="370">
        <f t="shared" si="19"/>
        <v>0</v>
      </c>
      <c r="W87" s="101">
        <f t="shared" si="8"/>
        <v>0</v>
      </c>
      <c r="X87" s="72">
        <f>IFERROR(IF(INDEX(AC$14:AC$18,MATCH($E87,$AB$14:$AB$18,0))&lt;&gt;0,INDEX(AC$14:AC$18,MATCH($E87,$AB$14:$AB$18,0)),
IF($M87="Market",0,IF($L87="HUD FMR",INDEX('Data - Reference'!$B$31:$G$31,MATCH($E87,'Data - Reference'!$B$9:$G$9,0)),INDEX('Data - Reference'!$B$9:$G$31,MATCH($K87,'Data - Reference'!$B$9:$B$31,0),MATCH($E87,'Data - Reference'!$B$9:$G$9,0))))),0)</f>
        <v>0</v>
      </c>
      <c r="Y87" s="72">
        <f>IFERROR(IF(INDEX(AD$14:AD$18,MATCH($E87,$AB$14:$AB$18,0))&lt;&gt;0,INDEX(AD$14:AD$18,MATCH($E87,$AB$14:$AB$18,0)),
IF($K87="None - Market",0,-INDEX('Data - Reference'!$B$32:$G$32,MATCH($E87,'Data - Reference'!$B$9:$G$9,0)))),0)</f>
        <v>0</v>
      </c>
      <c r="Z87" s="76">
        <f t="shared" si="20"/>
        <v>0</v>
      </c>
      <c r="AA87" s="67">
        <f t="shared" si="21"/>
        <v>0</v>
      </c>
      <c r="AB87" s="101">
        <f t="shared" si="10"/>
        <v>0</v>
      </c>
      <c r="AC87" s="84">
        <f t="shared" si="11"/>
        <v>0</v>
      </c>
      <c r="AD87" s="86">
        <f t="shared" si="22"/>
        <v>0</v>
      </c>
      <c r="AE87" s="101">
        <f t="shared" si="12"/>
        <v>0</v>
      </c>
      <c r="AF87" s="424" t="str">
        <f t="shared" si="0"/>
        <v>NA</v>
      </c>
      <c r="AG87" s="429" t="str">
        <f t="shared" si="13"/>
        <v>NA</v>
      </c>
      <c r="AH87" s="429" t="str">
        <f t="shared" si="1"/>
        <v>NA</v>
      </c>
      <c r="AI87" s="426" t="str">
        <f t="shared" si="14"/>
        <v>NA</v>
      </c>
      <c r="AJ87" s="426" t="str">
        <f t="shared" si="15"/>
        <v>NA</v>
      </c>
      <c r="AK87" s="535" t="str">
        <f>IFERROR(INDEX('Current Tenant Policy-Reference'!Q:Q,MATCH('Unit Summary - Rent Roll'!AJ87,'Current Tenant Policy-Reference'!O:O,0)),"NA")</f>
        <v>NA</v>
      </c>
    </row>
    <row r="88" spans="2:37" ht="13.8" x14ac:dyDescent="0.3">
      <c r="B88" s="241">
        <v>62</v>
      </c>
      <c r="C88" s="600" t="s">
        <v>143</v>
      </c>
      <c r="D88" s="601"/>
      <c r="E88" s="190" t="s">
        <v>139</v>
      </c>
      <c r="F88" s="191">
        <v>0</v>
      </c>
      <c r="G88" s="244" t="s">
        <v>85</v>
      </c>
      <c r="H88" s="248">
        <v>0</v>
      </c>
      <c r="I88" s="380">
        <f t="shared" si="16"/>
        <v>0</v>
      </c>
      <c r="J88" s="255" t="s">
        <v>139</v>
      </c>
      <c r="K88" s="517" t="s">
        <v>139</v>
      </c>
      <c r="L88" s="406" t="s">
        <v>139</v>
      </c>
      <c r="M88" s="411">
        <v>0</v>
      </c>
      <c r="N88" s="287" t="s">
        <v>139</v>
      </c>
      <c r="O88" s="308" t="str">
        <f>IF(OR(M88=0,N88="NA"),"NA",IFERROR(INDEX('Data - Reference'!$B$37:$B$50,MATCH('Unit Summary - Rent Roll'!$M88,INDEX('Data - Reference'!$B$37:$J$50,,MATCH('Unit Summary - Rent Roll'!$N88,'Data - Reference'!$B$37:$J$37,0)),-1),1),"NA"))</f>
        <v>NA</v>
      </c>
      <c r="P88" s="244" t="s">
        <v>85</v>
      </c>
      <c r="Q88" s="244" t="s">
        <v>85</v>
      </c>
      <c r="R88" s="193">
        <v>0</v>
      </c>
      <c r="S88" s="370">
        <f t="shared" si="17"/>
        <v>0</v>
      </c>
      <c r="T88" s="101">
        <f t="shared" si="18"/>
        <v>0</v>
      </c>
      <c r="U88" s="193">
        <v>0</v>
      </c>
      <c r="V88" s="370">
        <f t="shared" si="19"/>
        <v>0</v>
      </c>
      <c r="W88" s="101">
        <f t="shared" si="8"/>
        <v>0</v>
      </c>
      <c r="X88" s="72">
        <f>IFERROR(IF(INDEX(AC$14:AC$18,MATCH($E88,$AB$14:$AB$18,0))&lt;&gt;0,INDEX(AC$14:AC$18,MATCH($E88,$AB$14:$AB$18,0)),
IF($M88="Market",0,IF($L88="HUD FMR",INDEX('Data - Reference'!$B$31:$G$31,MATCH($E88,'Data - Reference'!$B$9:$G$9,0)),INDEX('Data - Reference'!$B$9:$G$31,MATCH($K88,'Data - Reference'!$B$9:$B$31,0),MATCH($E88,'Data - Reference'!$B$9:$G$9,0))))),0)</f>
        <v>0</v>
      </c>
      <c r="Y88" s="72">
        <f>IFERROR(IF(INDEX(AD$14:AD$18,MATCH($E88,$AB$14:$AB$18,0))&lt;&gt;0,INDEX(AD$14:AD$18,MATCH($E88,$AB$14:$AB$18,0)),
IF($K88="None - Market",0,-INDEX('Data - Reference'!$B$32:$G$32,MATCH($E88,'Data - Reference'!$B$9:$G$9,0)))),0)</f>
        <v>0</v>
      </c>
      <c r="Z88" s="76">
        <f t="shared" si="20"/>
        <v>0</v>
      </c>
      <c r="AA88" s="67">
        <f t="shared" si="21"/>
        <v>0</v>
      </c>
      <c r="AB88" s="101">
        <f t="shared" si="10"/>
        <v>0</v>
      </c>
      <c r="AC88" s="84">
        <f t="shared" si="11"/>
        <v>0</v>
      </c>
      <c r="AD88" s="86">
        <f t="shared" si="22"/>
        <v>0</v>
      </c>
      <c r="AE88" s="101">
        <f t="shared" si="12"/>
        <v>0</v>
      </c>
      <c r="AF88" s="424" t="str">
        <f t="shared" si="0"/>
        <v>NA</v>
      </c>
      <c r="AG88" s="429" t="str">
        <f t="shared" si="13"/>
        <v>NA</v>
      </c>
      <c r="AH88" s="429" t="str">
        <f t="shared" si="1"/>
        <v>NA</v>
      </c>
      <c r="AI88" s="426" t="str">
        <f t="shared" si="14"/>
        <v>NA</v>
      </c>
      <c r="AJ88" s="426" t="str">
        <f t="shared" si="15"/>
        <v>NA</v>
      </c>
      <c r="AK88" s="535" t="str">
        <f>IFERROR(INDEX('Current Tenant Policy-Reference'!Q:Q,MATCH('Unit Summary - Rent Roll'!AJ88,'Current Tenant Policy-Reference'!O:O,0)),"NA")</f>
        <v>NA</v>
      </c>
    </row>
    <row r="89" spans="2:37" ht="13.8" x14ac:dyDescent="0.3">
      <c r="B89" s="241">
        <v>63</v>
      </c>
      <c r="C89" s="600" t="s">
        <v>143</v>
      </c>
      <c r="D89" s="601"/>
      <c r="E89" s="190" t="s">
        <v>139</v>
      </c>
      <c r="F89" s="191">
        <v>0</v>
      </c>
      <c r="G89" s="244" t="s">
        <v>85</v>
      </c>
      <c r="H89" s="248">
        <v>0</v>
      </c>
      <c r="I89" s="380">
        <f t="shared" si="16"/>
        <v>0</v>
      </c>
      <c r="J89" s="255" t="s">
        <v>139</v>
      </c>
      <c r="K89" s="517" t="s">
        <v>139</v>
      </c>
      <c r="L89" s="406" t="s">
        <v>139</v>
      </c>
      <c r="M89" s="411">
        <v>0</v>
      </c>
      <c r="N89" s="287" t="s">
        <v>139</v>
      </c>
      <c r="O89" s="308" t="str">
        <f>IF(OR(M89=0,N89="NA"),"NA",IFERROR(INDEX('Data - Reference'!$B$37:$B$50,MATCH('Unit Summary - Rent Roll'!$M89,INDEX('Data - Reference'!$B$37:$J$50,,MATCH('Unit Summary - Rent Roll'!$N89,'Data - Reference'!$B$37:$J$37,0)),-1),1),"NA"))</f>
        <v>NA</v>
      </c>
      <c r="P89" s="244" t="s">
        <v>85</v>
      </c>
      <c r="Q89" s="244" t="s">
        <v>85</v>
      </c>
      <c r="R89" s="193">
        <v>0</v>
      </c>
      <c r="S89" s="370">
        <f t="shared" si="17"/>
        <v>0</v>
      </c>
      <c r="T89" s="101">
        <f t="shared" si="18"/>
        <v>0</v>
      </c>
      <c r="U89" s="193">
        <v>0</v>
      </c>
      <c r="V89" s="370">
        <f t="shared" si="19"/>
        <v>0</v>
      </c>
      <c r="W89" s="101">
        <f t="shared" si="8"/>
        <v>0</v>
      </c>
      <c r="X89" s="72">
        <f>IFERROR(IF(INDEX(AC$14:AC$18,MATCH($E89,$AB$14:$AB$18,0))&lt;&gt;0,INDEX(AC$14:AC$18,MATCH($E89,$AB$14:$AB$18,0)),
IF($M89="Market",0,IF($L89="HUD FMR",INDEX('Data - Reference'!$B$31:$G$31,MATCH($E89,'Data - Reference'!$B$9:$G$9,0)),INDEX('Data - Reference'!$B$9:$G$31,MATCH($K89,'Data - Reference'!$B$9:$B$31,0),MATCH($E89,'Data - Reference'!$B$9:$G$9,0))))),0)</f>
        <v>0</v>
      </c>
      <c r="Y89" s="72">
        <f>IFERROR(IF(INDEX(AD$14:AD$18,MATCH($E89,$AB$14:$AB$18,0))&lt;&gt;0,INDEX(AD$14:AD$18,MATCH($E89,$AB$14:$AB$18,0)),
IF($K89="None - Market",0,-INDEX('Data - Reference'!$B$32:$G$32,MATCH($E89,'Data - Reference'!$B$9:$G$9,0)))),0)</f>
        <v>0</v>
      </c>
      <c r="Z89" s="76">
        <f t="shared" si="20"/>
        <v>0</v>
      </c>
      <c r="AA89" s="67">
        <f t="shared" si="21"/>
        <v>0</v>
      </c>
      <c r="AB89" s="101">
        <f t="shared" si="10"/>
        <v>0</v>
      </c>
      <c r="AC89" s="84">
        <f t="shared" si="11"/>
        <v>0</v>
      </c>
      <c r="AD89" s="86">
        <f t="shared" si="22"/>
        <v>0</v>
      </c>
      <c r="AE89" s="101">
        <f t="shared" si="12"/>
        <v>0</v>
      </c>
      <c r="AF89" s="424" t="str">
        <f t="shared" si="0"/>
        <v>NA</v>
      </c>
      <c r="AG89" s="429" t="str">
        <f t="shared" si="13"/>
        <v>NA</v>
      </c>
      <c r="AH89" s="429" t="str">
        <f t="shared" si="1"/>
        <v>NA</v>
      </c>
      <c r="AI89" s="426" t="str">
        <f t="shared" si="14"/>
        <v>NA</v>
      </c>
      <c r="AJ89" s="426" t="str">
        <f t="shared" si="15"/>
        <v>NA</v>
      </c>
      <c r="AK89" s="535" t="str">
        <f>IFERROR(INDEX('Current Tenant Policy-Reference'!Q:Q,MATCH('Unit Summary - Rent Roll'!AJ89,'Current Tenant Policy-Reference'!O:O,0)),"NA")</f>
        <v>NA</v>
      </c>
    </row>
    <row r="90" spans="2:37" ht="13.8" x14ac:dyDescent="0.3">
      <c r="B90" s="241">
        <v>64</v>
      </c>
      <c r="C90" s="600" t="s">
        <v>143</v>
      </c>
      <c r="D90" s="601"/>
      <c r="E90" s="190" t="s">
        <v>139</v>
      </c>
      <c r="F90" s="191">
        <v>0</v>
      </c>
      <c r="G90" s="244" t="s">
        <v>85</v>
      </c>
      <c r="H90" s="248">
        <v>0</v>
      </c>
      <c r="I90" s="380">
        <f t="shared" si="16"/>
        <v>0</v>
      </c>
      <c r="J90" s="255" t="s">
        <v>139</v>
      </c>
      <c r="K90" s="517" t="s">
        <v>139</v>
      </c>
      <c r="L90" s="406" t="s">
        <v>139</v>
      </c>
      <c r="M90" s="411">
        <v>0</v>
      </c>
      <c r="N90" s="287" t="s">
        <v>139</v>
      </c>
      <c r="O90" s="308" t="str">
        <f>IF(OR(M90=0,N90="NA"),"NA",IFERROR(INDEX('Data - Reference'!$B$37:$B$50,MATCH('Unit Summary - Rent Roll'!$M90,INDEX('Data - Reference'!$B$37:$J$50,,MATCH('Unit Summary - Rent Roll'!$N90,'Data - Reference'!$B$37:$J$37,0)),-1),1),"NA"))</f>
        <v>NA</v>
      </c>
      <c r="P90" s="244" t="s">
        <v>85</v>
      </c>
      <c r="Q90" s="244" t="s">
        <v>85</v>
      </c>
      <c r="R90" s="193">
        <v>0</v>
      </c>
      <c r="S90" s="370">
        <f t="shared" si="17"/>
        <v>0</v>
      </c>
      <c r="T90" s="101">
        <f t="shared" si="18"/>
        <v>0</v>
      </c>
      <c r="U90" s="193">
        <v>0</v>
      </c>
      <c r="V90" s="370">
        <f t="shared" si="19"/>
        <v>0</v>
      </c>
      <c r="W90" s="101">
        <f t="shared" si="8"/>
        <v>0</v>
      </c>
      <c r="X90" s="72">
        <f>IFERROR(IF(INDEX(AC$14:AC$18,MATCH($E90,$AB$14:$AB$18,0))&lt;&gt;0,INDEX(AC$14:AC$18,MATCH($E90,$AB$14:$AB$18,0)),
IF($M90="Market",0,IF($L90="HUD FMR",INDEX('Data - Reference'!$B$31:$G$31,MATCH($E90,'Data - Reference'!$B$9:$G$9,0)),INDEX('Data - Reference'!$B$9:$G$31,MATCH($K90,'Data - Reference'!$B$9:$B$31,0),MATCH($E90,'Data - Reference'!$B$9:$G$9,0))))),0)</f>
        <v>0</v>
      </c>
      <c r="Y90" s="72">
        <f>IFERROR(IF(INDEX(AD$14:AD$18,MATCH($E90,$AB$14:$AB$18,0))&lt;&gt;0,INDEX(AD$14:AD$18,MATCH($E90,$AB$14:$AB$18,0)),
IF($K90="None - Market",0,-INDEX('Data - Reference'!$B$32:$G$32,MATCH($E90,'Data - Reference'!$B$9:$G$9,0)))),0)</f>
        <v>0</v>
      </c>
      <c r="Z90" s="76">
        <f t="shared" si="20"/>
        <v>0</v>
      </c>
      <c r="AA90" s="67">
        <f t="shared" si="21"/>
        <v>0</v>
      </c>
      <c r="AB90" s="101">
        <f t="shared" si="10"/>
        <v>0</v>
      </c>
      <c r="AC90" s="84">
        <f t="shared" si="11"/>
        <v>0</v>
      </c>
      <c r="AD90" s="86">
        <f t="shared" si="22"/>
        <v>0</v>
      </c>
      <c r="AE90" s="101">
        <f t="shared" si="12"/>
        <v>0</v>
      </c>
      <c r="AF90" s="424" t="str">
        <f t="shared" ref="AF90:AF126" si="23">IFERROR(IF(J90="Market","NA",IF(U90=0,"NA",IF(U90&gt;=Z90,"N","Y"))),"NA")</f>
        <v>NA</v>
      </c>
      <c r="AG90" s="429" t="str">
        <f t="shared" si="13"/>
        <v>NA</v>
      </c>
      <c r="AH90" s="429" t="str">
        <f t="shared" ref="AH90:AH126" si="24">IFERROR(IF(OR(G90="N",AE90=0),"NA",
IF(M90=0,"Input Current Household Income",
IF(G90="Y",IF(OR(J90="PBV - Income-Restricted",(U90-Y90)&lt;=M90/12*0.3),"Y","N"),"NA"))),"NA")</f>
        <v>NA</v>
      </c>
      <c r="AI90" s="426" t="str">
        <f t="shared" si="14"/>
        <v>NA</v>
      </c>
      <c r="AJ90" s="426" t="str">
        <f t="shared" si="15"/>
        <v>NA</v>
      </c>
      <c r="AK90" s="535" t="str">
        <f>IFERROR(INDEX('Current Tenant Policy-Reference'!Q:Q,MATCH('Unit Summary - Rent Roll'!AJ90,'Current Tenant Policy-Reference'!O:O,0)),"NA")</f>
        <v>NA</v>
      </c>
    </row>
    <row r="91" spans="2:37" ht="13.8" x14ac:dyDescent="0.3">
      <c r="B91" s="241">
        <v>65</v>
      </c>
      <c r="C91" s="600" t="s">
        <v>143</v>
      </c>
      <c r="D91" s="601"/>
      <c r="E91" s="190" t="s">
        <v>139</v>
      </c>
      <c r="F91" s="191">
        <v>0</v>
      </c>
      <c r="G91" s="244" t="s">
        <v>85</v>
      </c>
      <c r="H91" s="248">
        <v>0</v>
      </c>
      <c r="I91" s="380">
        <f t="shared" ref="I91:I122" si="25">F91*H91</f>
        <v>0</v>
      </c>
      <c r="J91" s="255" t="s">
        <v>139</v>
      </c>
      <c r="K91" s="517" t="s">
        <v>139</v>
      </c>
      <c r="L91" s="406" t="s">
        <v>139</v>
      </c>
      <c r="M91" s="411">
        <v>0</v>
      </c>
      <c r="N91" s="287" t="s">
        <v>139</v>
      </c>
      <c r="O91" s="308" t="str">
        <f>IF(OR(M91=0,N91="NA"),"NA",IFERROR(INDEX('Data - Reference'!$B$37:$B$50,MATCH('Unit Summary - Rent Roll'!$M91,INDEX('Data - Reference'!$B$37:$J$50,,MATCH('Unit Summary - Rent Roll'!$N91,'Data - Reference'!$B$37:$J$37,0)),-1),1),"NA"))</f>
        <v>NA</v>
      </c>
      <c r="P91" s="244" t="s">
        <v>85</v>
      </c>
      <c r="Q91" s="244" t="s">
        <v>85</v>
      </c>
      <c r="R91" s="193">
        <v>0</v>
      </c>
      <c r="S91" s="370">
        <f t="shared" ref="S91:S122" si="26">IFERROR(R91/$F91,0)</f>
        <v>0</v>
      </c>
      <c r="T91" s="101">
        <f t="shared" ref="T91:T126" si="27">IF(G91="Y",R91*$H91*12,0)</f>
        <v>0</v>
      </c>
      <c r="U91" s="193">
        <v>0</v>
      </c>
      <c r="V91" s="370">
        <f t="shared" ref="V91:V122" si="28">IFERROR(U91/$F91,0)</f>
        <v>0</v>
      </c>
      <c r="W91" s="101">
        <f t="shared" si="8"/>
        <v>0</v>
      </c>
      <c r="X91" s="72">
        <f>IFERROR(IF(INDEX(AC$14:AC$18,MATCH($E91,$AB$14:$AB$18,0))&lt;&gt;0,INDEX(AC$14:AC$18,MATCH($E91,$AB$14:$AB$18,0)),
IF($M91="Market",0,IF($L91="HUD FMR",INDEX('Data - Reference'!$B$31:$G$31,MATCH($E91,'Data - Reference'!$B$9:$G$9,0)),INDEX('Data - Reference'!$B$9:$G$31,MATCH($K91,'Data - Reference'!$B$9:$B$31,0),MATCH($E91,'Data - Reference'!$B$9:$G$9,0))))),0)</f>
        <v>0</v>
      </c>
      <c r="Y91" s="72">
        <f>IFERROR(IF(INDEX(AD$14:AD$18,MATCH($E91,$AB$14:$AB$18,0))&lt;&gt;0,INDEX(AD$14:AD$18,MATCH($E91,$AB$14:$AB$18,0)),
IF($K91="None - Market",0,-INDEX('Data - Reference'!$B$32:$G$32,MATCH($E91,'Data - Reference'!$B$9:$G$9,0)))),0)</f>
        <v>0</v>
      </c>
      <c r="Z91" s="76">
        <f t="shared" ref="Z91:Z122" si="29">SUM(X91:Y91)</f>
        <v>0</v>
      </c>
      <c r="AA91" s="67">
        <f t="shared" ref="AA91:AA122" si="30">IFERROR(Z91/$F91,0)</f>
        <v>0</v>
      </c>
      <c r="AB91" s="101">
        <f t="shared" si="10"/>
        <v>0</v>
      </c>
      <c r="AC91" s="84">
        <f t="shared" si="11"/>
        <v>0</v>
      </c>
      <c r="AD91" s="86">
        <f t="shared" ref="AD91:AD122" si="31">IFERROR(AC91/$F91,0)</f>
        <v>0</v>
      </c>
      <c r="AE91" s="101">
        <f t="shared" si="12"/>
        <v>0</v>
      </c>
      <c r="AF91" s="424" t="str">
        <f t="shared" si="23"/>
        <v>NA</v>
      </c>
      <c r="AG91" s="429" t="str">
        <f t="shared" si="13"/>
        <v>NA</v>
      </c>
      <c r="AH91" s="429" t="str">
        <f t="shared" si="24"/>
        <v>NA</v>
      </c>
      <c r="AI91" s="426" t="str">
        <f t="shared" si="14"/>
        <v>NA</v>
      </c>
      <c r="AJ91" s="426" t="str">
        <f t="shared" si="15"/>
        <v>NA</v>
      </c>
      <c r="AK91" s="535" t="str">
        <f>IFERROR(INDEX('Current Tenant Policy-Reference'!Q:Q,MATCH('Unit Summary - Rent Roll'!AJ91,'Current Tenant Policy-Reference'!O:O,0)),"NA")</f>
        <v>NA</v>
      </c>
    </row>
    <row r="92" spans="2:37" ht="13.8" x14ac:dyDescent="0.3">
      <c r="B92" s="241">
        <v>66</v>
      </c>
      <c r="C92" s="600" t="s">
        <v>143</v>
      </c>
      <c r="D92" s="601"/>
      <c r="E92" s="190" t="s">
        <v>139</v>
      </c>
      <c r="F92" s="191">
        <v>0</v>
      </c>
      <c r="G92" s="244" t="s">
        <v>85</v>
      </c>
      <c r="H92" s="248">
        <v>0</v>
      </c>
      <c r="I92" s="380">
        <f t="shared" si="25"/>
        <v>0</v>
      </c>
      <c r="J92" s="255" t="s">
        <v>139</v>
      </c>
      <c r="K92" s="517" t="s">
        <v>139</v>
      </c>
      <c r="L92" s="406" t="s">
        <v>139</v>
      </c>
      <c r="M92" s="411">
        <v>0</v>
      </c>
      <c r="N92" s="287" t="s">
        <v>139</v>
      </c>
      <c r="O92" s="308" t="str">
        <f>IF(OR(M92=0,N92="NA"),"NA",IFERROR(INDEX('Data - Reference'!$B$37:$B$50,MATCH('Unit Summary - Rent Roll'!$M92,INDEX('Data - Reference'!$B$37:$J$50,,MATCH('Unit Summary - Rent Roll'!$N92,'Data - Reference'!$B$37:$J$37,0)),-1),1),"NA"))</f>
        <v>NA</v>
      </c>
      <c r="P92" s="244" t="s">
        <v>85</v>
      </c>
      <c r="Q92" s="244" t="s">
        <v>85</v>
      </c>
      <c r="R92" s="193">
        <v>0</v>
      </c>
      <c r="S92" s="370">
        <f t="shared" si="26"/>
        <v>0</v>
      </c>
      <c r="T92" s="101">
        <f t="shared" si="27"/>
        <v>0</v>
      </c>
      <c r="U92" s="193">
        <v>0</v>
      </c>
      <c r="V92" s="370">
        <f t="shared" si="28"/>
        <v>0</v>
      </c>
      <c r="W92" s="101">
        <f t="shared" ref="W92:W126" si="32">U92*$H92*12</f>
        <v>0</v>
      </c>
      <c r="X92" s="72">
        <f>IFERROR(IF(INDEX(AC$14:AC$18,MATCH($E92,$AB$14:$AB$18,0))&lt;&gt;0,INDEX(AC$14:AC$18,MATCH($E92,$AB$14:$AB$18,0)),
IF($M92="Market",0,IF($L92="HUD FMR",INDEX('Data - Reference'!$B$31:$G$31,MATCH($E92,'Data - Reference'!$B$9:$G$9,0)),INDEX('Data - Reference'!$B$9:$G$31,MATCH($K92,'Data - Reference'!$B$9:$B$31,0),MATCH($E92,'Data - Reference'!$B$9:$G$9,0))))),0)</f>
        <v>0</v>
      </c>
      <c r="Y92" s="72">
        <f>IFERROR(IF(INDEX(AD$14:AD$18,MATCH($E92,$AB$14:$AB$18,0))&lt;&gt;0,INDEX(AD$14:AD$18,MATCH($E92,$AB$14:$AB$18,0)),
IF($K92="None - Market",0,-INDEX('Data - Reference'!$B$32:$G$32,MATCH($E92,'Data - Reference'!$B$9:$G$9,0)))),0)</f>
        <v>0</v>
      </c>
      <c r="Z92" s="76">
        <f t="shared" si="29"/>
        <v>0</v>
      </c>
      <c r="AA92" s="67">
        <f t="shared" si="30"/>
        <v>0</v>
      </c>
      <c r="AB92" s="101">
        <f t="shared" ref="AB92:AB126" si="33">Z92*$H92*12</f>
        <v>0</v>
      </c>
      <c r="AC92" s="84">
        <f t="shared" ref="AC92:AC126" si="34">IF(AND($R92=$U92,$R92&gt;0,$U92&gt;0,$Z92&gt;0),MIN($R92,$U92,$Z92),
IF(AND($R92&lt;$U92,$Z92&gt;0),MIN($U92,$Z92),
$U92))</f>
        <v>0</v>
      </c>
      <c r="AD92" s="86">
        <f t="shared" si="31"/>
        <v>0</v>
      </c>
      <c r="AE92" s="101">
        <f t="shared" ref="AE92:AE126" si="35">AC92*$H92*12</f>
        <v>0</v>
      </c>
      <c r="AF92" s="424" t="str">
        <f t="shared" si="23"/>
        <v>NA</v>
      </c>
      <c r="AG92" s="429" t="str">
        <f t="shared" ref="AG92:AG126" si="36">IFERROR(IF(AND(OR(AJ92="1a",AJ92="2a"),OR(AH92="Y",AI92="Y")),"Y",
IF(AND(OR(AJ92="1b",AJ92="2b"),AF92="Y"),"Y",
IF(AJ92="4","Y",
IF(AJ92="NA","NA",
"N")))),"NA")</f>
        <v>NA</v>
      </c>
      <c r="AH92" s="429" t="str">
        <f t="shared" si="24"/>
        <v>NA</v>
      </c>
      <c r="AI92" s="426" t="str">
        <f t="shared" ref="AI92:AI126" si="37">IFERROR(IF(AE92=0,"NA",
IF(G92="Y",IF(OR(J92="PBV - Income-Restricted",AC92/R92-1&lt;=0.05),"Y","N"),"NA")),"NA")</f>
        <v>NA</v>
      </c>
      <c r="AJ92" s="426" t="str">
        <f t="shared" ref="AJ92:AJ126" si="38">IFERROR(IF(G92="N","NA",
(IF(AND(J92="Market",O92&gt;80%),"4",
IF(AND(O92&lt;=K92,O92&lt;=80%),"1a",
IF(AND(O92&lt;=K92,O92&gt;80%,O92&lt;=120%),"1b",
IF(AND(O92&gt;K92,O92&lt;=80%),"2a",
IF(AND(O92&gt;80%,O92&lt;=120%,O92-K92&lt;=20%),"2b",
IF(AND(O92&gt;80%,O92&lt;=120%,O92-K92&gt;20%),"3a",
IF(OR(M92=0,O92&gt;120%),"3b",
"Other"))))))))),"NA")</f>
        <v>NA</v>
      </c>
      <c r="AK92" s="535" t="str">
        <f>IFERROR(INDEX('Current Tenant Policy-Reference'!Q:Q,MATCH('Unit Summary - Rent Roll'!AJ92,'Current Tenant Policy-Reference'!O:O,0)),"NA")</f>
        <v>NA</v>
      </c>
    </row>
    <row r="93" spans="2:37" ht="13.8" x14ac:dyDescent="0.3">
      <c r="B93" s="241">
        <v>67</v>
      </c>
      <c r="C93" s="600" t="s">
        <v>143</v>
      </c>
      <c r="D93" s="601"/>
      <c r="E93" s="190" t="s">
        <v>139</v>
      </c>
      <c r="F93" s="191">
        <v>0</v>
      </c>
      <c r="G93" s="244" t="s">
        <v>85</v>
      </c>
      <c r="H93" s="248">
        <v>0</v>
      </c>
      <c r="I93" s="380">
        <f t="shared" si="25"/>
        <v>0</v>
      </c>
      <c r="J93" s="255" t="s">
        <v>139</v>
      </c>
      <c r="K93" s="517" t="s">
        <v>139</v>
      </c>
      <c r="L93" s="406" t="s">
        <v>139</v>
      </c>
      <c r="M93" s="411">
        <v>0</v>
      </c>
      <c r="N93" s="287" t="s">
        <v>139</v>
      </c>
      <c r="O93" s="308" t="str">
        <f>IF(OR(M93=0,N93="NA"),"NA",IFERROR(INDEX('Data - Reference'!$B$37:$B$50,MATCH('Unit Summary - Rent Roll'!$M93,INDEX('Data - Reference'!$B$37:$J$50,,MATCH('Unit Summary - Rent Roll'!$N93,'Data - Reference'!$B$37:$J$37,0)),-1),1),"NA"))</f>
        <v>NA</v>
      </c>
      <c r="P93" s="244" t="s">
        <v>85</v>
      </c>
      <c r="Q93" s="244" t="s">
        <v>85</v>
      </c>
      <c r="R93" s="193">
        <v>0</v>
      </c>
      <c r="S93" s="370">
        <f t="shared" si="26"/>
        <v>0</v>
      </c>
      <c r="T93" s="101">
        <f t="shared" si="27"/>
        <v>0</v>
      </c>
      <c r="U93" s="193">
        <v>0</v>
      </c>
      <c r="V93" s="370">
        <f t="shared" si="28"/>
        <v>0</v>
      </c>
      <c r="W93" s="101">
        <f t="shared" si="32"/>
        <v>0</v>
      </c>
      <c r="X93" s="72">
        <f>IFERROR(IF(INDEX(AC$14:AC$18,MATCH($E93,$AB$14:$AB$18,0))&lt;&gt;0,INDEX(AC$14:AC$18,MATCH($E93,$AB$14:$AB$18,0)),
IF($M93="Market",0,IF($L93="HUD FMR",INDEX('Data - Reference'!$B$31:$G$31,MATCH($E93,'Data - Reference'!$B$9:$G$9,0)),INDEX('Data - Reference'!$B$9:$G$31,MATCH($K93,'Data - Reference'!$B$9:$B$31,0),MATCH($E93,'Data - Reference'!$B$9:$G$9,0))))),0)</f>
        <v>0</v>
      </c>
      <c r="Y93" s="72">
        <f>IFERROR(IF(INDEX(AD$14:AD$18,MATCH($E93,$AB$14:$AB$18,0))&lt;&gt;0,INDEX(AD$14:AD$18,MATCH($E93,$AB$14:$AB$18,0)),
IF($K93="None - Market",0,-INDEX('Data - Reference'!$B$32:$G$32,MATCH($E93,'Data - Reference'!$B$9:$G$9,0)))),0)</f>
        <v>0</v>
      </c>
      <c r="Z93" s="76">
        <f t="shared" si="29"/>
        <v>0</v>
      </c>
      <c r="AA93" s="67">
        <f t="shared" si="30"/>
        <v>0</v>
      </c>
      <c r="AB93" s="101">
        <f t="shared" si="33"/>
        <v>0</v>
      </c>
      <c r="AC93" s="84">
        <f t="shared" si="34"/>
        <v>0</v>
      </c>
      <c r="AD93" s="86">
        <f t="shared" si="31"/>
        <v>0</v>
      </c>
      <c r="AE93" s="101">
        <f t="shared" si="35"/>
        <v>0</v>
      </c>
      <c r="AF93" s="424" t="str">
        <f t="shared" si="23"/>
        <v>NA</v>
      </c>
      <c r="AG93" s="429" t="str">
        <f t="shared" si="36"/>
        <v>NA</v>
      </c>
      <c r="AH93" s="429" t="str">
        <f t="shared" si="24"/>
        <v>NA</v>
      </c>
      <c r="AI93" s="426" t="str">
        <f t="shared" si="37"/>
        <v>NA</v>
      </c>
      <c r="AJ93" s="426" t="str">
        <f t="shared" si="38"/>
        <v>NA</v>
      </c>
      <c r="AK93" s="535" t="str">
        <f>IFERROR(INDEX('Current Tenant Policy-Reference'!Q:Q,MATCH('Unit Summary - Rent Roll'!AJ93,'Current Tenant Policy-Reference'!O:O,0)),"NA")</f>
        <v>NA</v>
      </c>
    </row>
    <row r="94" spans="2:37" ht="13.8" x14ac:dyDescent="0.3">
      <c r="B94" s="241">
        <v>68</v>
      </c>
      <c r="C94" s="600" t="s">
        <v>143</v>
      </c>
      <c r="D94" s="601"/>
      <c r="E94" s="190" t="s">
        <v>139</v>
      </c>
      <c r="F94" s="191">
        <v>0</v>
      </c>
      <c r="G94" s="244" t="s">
        <v>85</v>
      </c>
      <c r="H94" s="248">
        <v>0</v>
      </c>
      <c r="I94" s="380">
        <f t="shared" si="25"/>
        <v>0</v>
      </c>
      <c r="J94" s="255" t="s">
        <v>139</v>
      </c>
      <c r="K94" s="517" t="s">
        <v>139</v>
      </c>
      <c r="L94" s="406" t="s">
        <v>139</v>
      </c>
      <c r="M94" s="411">
        <v>0</v>
      </c>
      <c r="N94" s="287" t="s">
        <v>139</v>
      </c>
      <c r="O94" s="308" t="str">
        <f>IF(OR(M94=0,N94="NA"),"NA",IFERROR(INDEX('Data - Reference'!$B$37:$B$50,MATCH('Unit Summary - Rent Roll'!$M94,INDEX('Data - Reference'!$B$37:$J$50,,MATCH('Unit Summary - Rent Roll'!$N94,'Data - Reference'!$B$37:$J$37,0)),-1),1),"NA"))</f>
        <v>NA</v>
      </c>
      <c r="P94" s="244" t="s">
        <v>85</v>
      </c>
      <c r="Q94" s="244" t="s">
        <v>85</v>
      </c>
      <c r="R94" s="193">
        <v>0</v>
      </c>
      <c r="S94" s="370">
        <f t="shared" si="26"/>
        <v>0</v>
      </c>
      <c r="T94" s="101">
        <f t="shared" si="27"/>
        <v>0</v>
      </c>
      <c r="U94" s="193">
        <v>0</v>
      </c>
      <c r="V94" s="370">
        <f t="shared" si="28"/>
        <v>0</v>
      </c>
      <c r="W94" s="101">
        <f t="shared" si="32"/>
        <v>0</v>
      </c>
      <c r="X94" s="72">
        <f>IFERROR(IF(INDEX(AC$14:AC$18,MATCH($E94,$AB$14:$AB$18,0))&lt;&gt;0,INDEX(AC$14:AC$18,MATCH($E94,$AB$14:$AB$18,0)),
IF($M94="Market",0,IF($L94="HUD FMR",INDEX('Data - Reference'!$B$31:$G$31,MATCH($E94,'Data - Reference'!$B$9:$G$9,0)),INDEX('Data - Reference'!$B$9:$G$31,MATCH($K94,'Data - Reference'!$B$9:$B$31,0),MATCH($E94,'Data - Reference'!$B$9:$G$9,0))))),0)</f>
        <v>0</v>
      </c>
      <c r="Y94" s="72">
        <f>IFERROR(IF(INDEX(AD$14:AD$18,MATCH($E94,$AB$14:$AB$18,0))&lt;&gt;0,INDEX(AD$14:AD$18,MATCH($E94,$AB$14:$AB$18,0)),
IF($K94="None - Market",0,-INDEX('Data - Reference'!$B$32:$G$32,MATCH($E94,'Data - Reference'!$B$9:$G$9,0)))),0)</f>
        <v>0</v>
      </c>
      <c r="Z94" s="76">
        <f t="shared" si="29"/>
        <v>0</v>
      </c>
      <c r="AA94" s="67">
        <f t="shared" si="30"/>
        <v>0</v>
      </c>
      <c r="AB94" s="101">
        <f t="shared" si="33"/>
        <v>0</v>
      </c>
      <c r="AC94" s="84">
        <f t="shared" si="34"/>
        <v>0</v>
      </c>
      <c r="AD94" s="86">
        <f t="shared" si="31"/>
        <v>0</v>
      </c>
      <c r="AE94" s="101">
        <f t="shared" si="35"/>
        <v>0</v>
      </c>
      <c r="AF94" s="424" t="str">
        <f t="shared" si="23"/>
        <v>NA</v>
      </c>
      <c r="AG94" s="429" t="str">
        <f t="shared" si="36"/>
        <v>NA</v>
      </c>
      <c r="AH94" s="429" t="str">
        <f t="shared" si="24"/>
        <v>NA</v>
      </c>
      <c r="AI94" s="426" t="str">
        <f t="shared" si="37"/>
        <v>NA</v>
      </c>
      <c r="AJ94" s="426" t="str">
        <f t="shared" si="38"/>
        <v>NA</v>
      </c>
      <c r="AK94" s="535" t="str">
        <f>IFERROR(INDEX('Current Tenant Policy-Reference'!Q:Q,MATCH('Unit Summary - Rent Roll'!AJ94,'Current Tenant Policy-Reference'!O:O,0)),"NA")</f>
        <v>NA</v>
      </c>
    </row>
    <row r="95" spans="2:37" ht="13.8" x14ac:dyDescent="0.3">
      <c r="B95" s="241">
        <v>69</v>
      </c>
      <c r="C95" s="600" t="s">
        <v>143</v>
      </c>
      <c r="D95" s="601"/>
      <c r="E95" s="190" t="s">
        <v>139</v>
      </c>
      <c r="F95" s="191">
        <v>0</v>
      </c>
      <c r="G95" s="244" t="s">
        <v>85</v>
      </c>
      <c r="H95" s="248">
        <v>0</v>
      </c>
      <c r="I95" s="380">
        <f t="shared" si="25"/>
        <v>0</v>
      </c>
      <c r="J95" s="255" t="s">
        <v>139</v>
      </c>
      <c r="K95" s="517" t="s">
        <v>139</v>
      </c>
      <c r="L95" s="406" t="s">
        <v>139</v>
      </c>
      <c r="M95" s="411">
        <v>0</v>
      </c>
      <c r="N95" s="287" t="s">
        <v>139</v>
      </c>
      <c r="O95" s="308" t="str">
        <f>IF(OR(M95=0,N95="NA"),"NA",IFERROR(INDEX('Data - Reference'!$B$37:$B$50,MATCH('Unit Summary - Rent Roll'!$M95,INDEX('Data - Reference'!$B$37:$J$50,,MATCH('Unit Summary - Rent Roll'!$N95,'Data - Reference'!$B$37:$J$37,0)),-1),1),"NA"))</f>
        <v>NA</v>
      </c>
      <c r="P95" s="244" t="s">
        <v>85</v>
      </c>
      <c r="Q95" s="244" t="s">
        <v>85</v>
      </c>
      <c r="R95" s="193">
        <v>0</v>
      </c>
      <c r="S95" s="370">
        <f t="shared" si="26"/>
        <v>0</v>
      </c>
      <c r="T95" s="101">
        <f t="shared" si="27"/>
        <v>0</v>
      </c>
      <c r="U95" s="193">
        <v>0</v>
      </c>
      <c r="V95" s="370">
        <f t="shared" si="28"/>
        <v>0</v>
      </c>
      <c r="W95" s="101">
        <f t="shared" si="32"/>
        <v>0</v>
      </c>
      <c r="X95" s="72">
        <f>IFERROR(IF(INDEX(AC$14:AC$18,MATCH($E95,$AB$14:$AB$18,0))&lt;&gt;0,INDEX(AC$14:AC$18,MATCH($E95,$AB$14:$AB$18,0)),
IF($M95="Market",0,IF($L95="HUD FMR",INDEX('Data - Reference'!$B$31:$G$31,MATCH($E95,'Data - Reference'!$B$9:$G$9,0)),INDEX('Data - Reference'!$B$9:$G$31,MATCH($K95,'Data - Reference'!$B$9:$B$31,0),MATCH($E95,'Data - Reference'!$B$9:$G$9,0))))),0)</f>
        <v>0</v>
      </c>
      <c r="Y95" s="72">
        <f>IFERROR(IF(INDEX(AD$14:AD$18,MATCH($E95,$AB$14:$AB$18,0))&lt;&gt;0,INDEX(AD$14:AD$18,MATCH($E95,$AB$14:$AB$18,0)),
IF($K95="None - Market",0,-INDEX('Data - Reference'!$B$32:$G$32,MATCH($E95,'Data - Reference'!$B$9:$G$9,0)))),0)</f>
        <v>0</v>
      </c>
      <c r="Z95" s="76">
        <f t="shared" si="29"/>
        <v>0</v>
      </c>
      <c r="AA95" s="67">
        <f t="shared" si="30"/>
        <v>0</v>
      </c>
      <c r="AB95" s="101">
        <f t="shared" si="33"/>
        <v>0</v>
      </c>
      <c r="AC95" s="84">
        <f t="shared" si="34"/>
        <v>0</v>
      </c>
      <c r="AD95" s="86">
        <f t="shared" si="31"/>
        <v>0</v>
      </c>
      <c r="AE95" s="101">
        <f t="shared" si="35"/>
        <v>0</v>
      </c>
      <c r="AF95" s="424" t="str">
        <f t="shared" si="23"/>
        <v>NA</v>
      </c>
      <c r="AG95" s="429" t="str">
        <f t="shared" si="36"/>
        <v>NA</v>
      </c>
      <c r="AH95" s="429" t="str">
        <f t="shared" si="24"/>
        <v>NA</v>
      </c>
      <c r="AI95" s="426" t="str">
        <f t="shared" si="37"/>
        <v>NA</v>
      </c>
      <c r="AJ95" s="426" t="str">
        <f t="shared" si="38"/>
        <v>NA</v>
      </c>
      <c r="AK95" s="535" t="str">
        <f>IFERROR(INDEX('Current Tenant Policy-Reference'!Q:Q,MATCH('Unit Summary - Rent Roll'!AJ95,'Current Tenant Policy-Reference'!O:O,0)),"NA")</f>
        <v>NA</v>
      </c>
    </row>
    <row r="96" spans="2:37" ht="13.8" x14ac:dyDescent="0.3">
      <c r="B96" s="241">
        <v>70</v>
      </c>
      <c r="C96" s="600" t="s">
        <v>143</v>
      </c>
      <c r="D96" s="601"/>
      <c r="E96" s="190" t="s">
        <v>139</v>
      </c>
      <c r="F96" s="191">
        <v>0</v>
      </c>
      <c r="G96" s="244" t="s">
        <v>85</v>
      </c>
      <c r="H96" s="248">
        <v>0</v>
      </c>
      <c r="I96" s="380">
        <f t="shared" si="25"/>
        <v>0</v>
      </c>
      <c r="J96" s="255" t="s">
        <v>139</v>
      </c>
      <c r="K96" s="517" t="s">
        <v>139</v>
      </c>
      <c r="L96" s="406" t="s">
        <v>139</v>
      </c>
      <c r="M96" s="411">
        <v>0</v>
      </c>
      <c r="N96" s="287" t="s">
        <v>139</v>
      </c>
      <c r="O96" s="308" t="str">
        <f>IF(OR(M96=0,N96="NA"),"NA",IFERROR(INDEX('Data - Reference'!$B$37:$B$50,MATCH('Unit Summary - Rent Roll'!$M96,INDEX('Data - Reference'!$B$37:$J$50,,MATCH('Unit Summary - Rent Roll'!$N96,'Data - Reference'!$B$37:$J$37,0)),-1),1),"NA"))</f>
        <v>NA</v>
      </c>
      <c r="P96" s="244" t="s">
        <v>85</v>
      </c>
      <c r="Q96" s="244" t="s">
        <v>85</v>
      </c>
      <c r="R96" s="193">
        <v>0</v>
      </c>
      <c r="S96" s="370">
        <f t="shared" si="26"/>
        <v>0</v>
      </c>
      <c r="T96" s="101">
        <f t="shared" si="27"/>
        <v>0</v>
      </c>
      <c r="U96" s="193">
        <v>0</v>
      </c>
      <c r="V96" s="370">
        <f t="shared" si="28"/>
        <v>0</v>
      </c>
      <c r="W96" s="101">
        <f t="shared" si="32"/>
        <v>0</v>
      </c>
      <c r="X96" s="72">
        <f>IFERROR(IF(INDEX(AC$14:AC$18,MATCH($E96,$AB$14:$AB$18,0))&lt;&gt;0,INDEX(AC$14:AC$18,MATCH($E96,$AB$14:$AB$18,0)),
IF($M96="Market",0,IF($L96="HUD FMR",INDEX('Data - Reference'!$B$31:$G$31,MATCH($E96,'Data - Reference'!$B$9:$G$9,0)),INDEX('Data - Reference'!$B$9:$G$31,MATCH($K96,'Data - Reference'!$B$9:$B$31,0),MATCH($E96,'Data - Reference'!$B$9:$G$9,0))))),0)</f>
        <v>0</v>
      </c>
      <c r="Y96" s="72">
        <f>IFERROR(IF(INDEX(AD$14:AD$18,MATCH($E96,$AB$14:$AB$18,0))&lt;&gt;0,INDEX(AD$14:AD$18,MATCH($E96,$AB$14:$AB$18,0)),
IF($K96="None - Market",0,-INDEX('Data - Reference'!$B$32:$G$32,MATCH($E96,'Data - Reference'!$B$9:$G$9,0)))),0)</f>
        <v>0</v>
      </c>
      <c r="Z96" s="76">
        <f t="shared" si="29"/>
        <v>0</v>
      </c>
      <c r="AA96" s="67">
        <f t="shared" si="30"/>
        <v>0</v>
      </c>
      <c r="AB96" s="101">
        <f t="shared" si="33"/>
        <v>0</v>
      </c>
      <c r="AC96" s="84">
        <f t="shared" si="34"/>
        <v>0</v>
      </c>
      <c r="AD96" s="86">
        <f t="shared" si="31"/>
        <v>0</v>
      </c>
      <c r="AE96" s="101">
        <f t="shared" si="35"/>
        <v>0</v>
      </c>
      <c r="AF96" s="424" t="str">
        <f t="shared" si="23"/>
        <v>NA</v>
      </c>
      <c r="AG96" s="429" t="str">
        <f t="shared" si="36"/>
        <v>NA</v>
      </c>
      <c r="AH96" s="429" t="str">
        <f t="shared" si="24"/>
        <v>NA</v>
      </c>
      <c r="AI96" s="426" t="str">
        <f t="shared" si="37"/>
        <v>NA</v>
      </c>
      <c r="AJ96" s="426" t="str">
        <f t="shared" si="38"/>
        <v>NA</v>
      </c>
      <c r="AK96" s="535" t="str">
        <f>IFERROR(INDEX('Current Tenant Policy-Reference'!Q:Q,MATCH('Unit Summary - Rent Roll'!AJ96,'Current Tenant Policy-Reference'!O:O,0)),"NA")</f>
        <v>NA</v>
      </c>
    </row>
    <row r="97" spans="2:37" ht="13.8" x14ac:dyDescent="0.3">
      <c r="B97" s="241">
        <v>71</v>
      </c>
      <c r="C97" s="600" t="s">
        <v>143</v>
      </c>
      <c r="D97" s="601"/>
      <c r="E97" s="190" t="s">
        <v>139</v>
      </c>
      <c r="F97" s="191">
        <v>0</v>
      </c>
      <c r="G97" s="244" t="s">
        <v>85</v>
      </c>
      <c r="H97" s="248">
        <v>0</v>
      </c>
      <c r="I97" s="380">
        <f t="shared" si="25"/>
        <v>0</v>
      </c>
      <c r="J97" s="255" t="s">
        <v>139</v>
      </c>
      <c r="K97" s="517" t="s">
        <v>139</v>
      </c>
      <c r="L97" s="406" t="s">
        <v>139</v>
      </c>
      <c r="M97" s="411">
        <v>0</v>
      </c>
      <c r="N97" s="287" t="s">
        <v>139</v>
      </c>
      <c r="O97" s="308" t="str">
        <f>IF(OR(M97=0,N97="NA"),"NA",IFERROR(INDEX('Data - Reference'!$B$37:$B$50,MATCH('Unit Summary - Rent Roll'!$M97,INDEX('Data - Reference'!$B$37:$J$50,,MATCH('Unit Summary - Rent Roll'!$N97,'Data - Reference'!$B$37:$J$37,0)),-1),1),"NA"))</f>
        <v>NA</v>
      </c>
      <c r="P97" s="244" t="s">
        <v>85</v>
      </c>
      <c r="Q97" s="244" t="s">
        <v>85</v>
      </c>
      <c r="R97" s="193">
        <v>0</v>
      </c>
      <c r="S97" s="370">
        <f t="shared" si="26"/>
        <v>0</v>
      </c>
      <c r="T97" s="101">
        <f t="shared" si="27"/>
        <v>0</v>
      </c>
      <c r="U97" s="193">
        <v>0</v>
      </c>
      <c r="V97" s="370">
        <f t="shared" si="28"/>
        <v>0</v>
      </c>
      <c r="W97" s="101">
        <f t="shared" si="32"/>
        <v>0</v>
      </c>
      <c r="X97" s="72">
        <f>IFERROR(IF(INDEX(AC$14:AC$18,MATCH($E97,$AB$14:$AB$18,0))&lt;&gt;0,INDEX(AC$14:AC$18,MATCH($E97,$AB$14:$AB$18,0)),
IF($M97="Market",0,IF($L97="HUD FMR",INDEX('Data - Reference'!$B$31:$G$31,MATCH($E97,'Data - Reference'!$B$9:$G$9,0)),INDEX('Data - Reference'!$B$9:$G$31,MATCH($K97,'Data - Reference'!$B$9:$B$31,0),MATCH($E97,'Data - Reference'!$B$9:$G$9,0))))),0)</f>
        <v>0</v>
      </c>
      <c r="Y97" s="72">
        <f>IFERROR(IF(INDEX(AD$14:AD$18,MATCH($E97,$AB$14:$AB$18,0))&lt;&gt;0,INDEX(AD$14:AD$18,MATCH($E97,$AB$14:$AB$18,0)),
IF($K97="None - Market",0,-INDEX('Data - Reference'!$B$32:$G$32,MATCH($E97,'Data - Reference'!$B$9:$G$9,0)))),0)</f>
        <v>0</v>
      </c>
      <c r="Z97" s="76">
        <f t="shared" si="29"/>
        <v>0</v>
      </c>
      <c r="AA97" s="67">
        <f t="shared" si="30"/>
        <v>0</v>
      </c>
      <c r="AB97" s="101">
        <f t="shared" si="33"/>
        <v>0</v>
      </c>
      <c r="AC97" s="84">
        <f t="shared" si="34"/>
        <v>0</v>
      </c>
      <c r="AD97" s="86">
        <f t="shared" si="31"/>
        <v>0</v>
      </c>
      <c r="AE97" s="101">
        <f t="shared" si="35"/>
        <v>0</v>
      </c>
      <c r="AF97" s="424" t="str">
        <f t="shared" si="23"/>
        <v>NA</v>
      </c>
      <c r="AG97" s="429" t="str">
        <f t="shared" si="36"/>
        <v>NA</v>
      </c>
      <c r="AH97" s="429" t="str">
        <f t="shared" si="24"/>
        <v>NA</v>
      </c>
      <c r="AI97" s="426" t="str">
        <f t="shared" si="37"/>
        <v>NA</v>
      </c>
      <c r="AJ97" s="426" t="str">
        <f t="shared" si="38"/>
        <v>NA</v>
      </c>
      <c r="AK97" s="535" t="str">
        <f>IFERROR(INDEX('Current Tenant Policy-Reference'!Q:Q,MATCH('Unit Summary - Rent Roll'!AJ97,'Current Tenant Policy-Reference'!O:O,0)),"NA")</f>
        <v>NA</v>
      </c>
    </row>
    <row r="98" spans="2:37" ht="13.8" x14ac:dyDescent="0.3">
      <c r="B98" s="241">
        <v>72</v>
      </c>
      <c r="C98" s="600" t="s">
        <v>143</v>
      </c>
      <c r="D98" s="601"/>
      <c r="E98" s="190" t="s">
        <v>139</v>
      </c>
      <c r="F98" s="191">
        <v>0</v>
      </c>
      <c r="G98" s="244" t="s">
        <v>85</v>
      </c>
      <c r="H98" s="248">
        <v>0</v>
      </c>
      <c r="I98" s="380">
        <f t="shared" si="25"/>
        <v>0</v>
      </c>
      <c r="J98" s="255" t="s">
        <v>139</v>
      </c>
      <c r="K98" s="517" t="s">
        <v>139</v>
      </c>
      <c r="L98" s="406" t="s">
        <v>139</v>
      </c>
      <c r="M98" s="411">
        <v>0</v>
      </c>
      <c r="N98" s="287" t="s">
        <v>139</v>
      </c>
      <c r="O98" s="308" t="str">
        <f>IF(OR(M98=0,N98="NA"),"NA",IFERROR(INDEX('Data - Reference'!$B$37:$B$50,MATCH('Unit Summary - Rent Roll'!$M98,INDEX('Data - Reference'!$B$37:$J$50,,MATCH('Unit Summary - Rent Roll'!$N98,'Data - Reference'!$B$37:$J$37,0)),-1),1),"NA"))</f>
        <v>NA</v>
      </c>
      <c r="P98" s="244" t="s">
        <v>85</v>
      </c>
      <c r="Q98" s="244" t="s">
        <v>85</v>
      </c>
      <c r="R98" s="193">
        <v>0</v>
      </c>
      <c r="S98" s="370">
        <f t="shared" si="26"/>
        <v>0</v>
      </c>
      <c r="T98" s="101">
        <f t="shared" si="27"/>
        <v>0</v>
      </c>
      <c r="U98" s="193">
        <v>0</v>
      </c>
      <c r="V98" s="370">
        <f t="shared" si="28"/>
        <v>0</v>
      </c>
      <c r="W98" s="101">
        <f t="shared" si="32"/>
        <v>0</v>
      </c>
      <c r="X98" s="72">
        <f>IFERROR(IF(INDEX(AC$14:AC$18,MATCH($E98,$AB$14:$AB$18,0))&lt;&gt;0,INDEX(AC$14:AC$18,MATCH($E98,$AB$14:$AB$18,0)),
IF($M98="Market",0,IF($L98="HUD FMR",INDEX('Data - Reference'!$B$31:$G$31,MATCH($E98,'Data - Reference'!$B$9:$G$9,0)),INDEX('Data - Reference'!$B$9:$G$31,MATCH($K98,'Data - Reference'!$B$9:$B$31,0),MATCH($E98,'Data - Reference'!$B$9:$G$9,0))))),0)</f>
        <v>0</v>
      </c>
      <c r="Y98" s="72">
        <f>IFERROR(IF(INDEX(AD$14:AD$18,MATCH($E98,$AB$14:$AB$18,0))&lt;&gt;0,INDEX(AD$14:AD$18,MATCH($E98,$AB$14:$AB$18,0)),
IF($K98="None - Market",0,-INDEX('Data - Reference'!$B$32:$G$32,MATCH($E98,'Data - Reference'!$B$9:$G$9,0)))),0)</f>
        <v>0</v>
      </c>
      <c r="Z98" s="76">
        <f t="shared" si="29"/>
        <v>0</v>
      </c>
      <c r="AA98" s="67">
        <f t="shared" si="30"/>
        <v>0</v>
      </c>
      <c r="AB98" s="101">
        <f t="shared" si="33"/>
        <v>0</v>
      </c>
      <c r="AC98" s="84">
        <f t="shared" si="34"/>
        <v>0</v>
      </c>
      <c r="AD98" s="86">
        <f t="shared" si="31"/>
        <v>0</v>
      </c>
      <c r="AE98" s="101">
        <f t="shared" si="35"/>
        <v>0</v>
      </c>
      <c r="AF98" s="424" t="str">
        <f t="shared" si="23"/>
        <v>NA</v>
      </c>
      <c r="AG98" s="429" t="str">
        <f t="shared" si="36"/>
        <v>NA</v>
      </c>
      <c r="AH98" s="429" t="str">
        <f t="shared" si="24"/>
        <v>NA</v>
      </c>
      <c r="AI98" s="426" t="str">
        <f t="shared" si="37"/>
        <v>NA</v>
      </c>
      <c r="AJ98" s="426" t="str">
        <f t="shared" si="38"/>
        <v>NA</v>
      </c>
      <c r="AK98" s="535" t="str">
        <f>IFERROR(INDEX('Current Tenant Policy-Reference'!Q:Q,MATCH('Unit Summary - Rent Roll'!AJ98,'Current Tenant Policy-Reference'!O:O,0)),"NA")</f>
        <v>NA</v>
      </c>
    </row>
    <row r="99" spans="2:37" ht="13.8" x14ac:dyDescent="0.3">
      <c r="B99" s="241">
        <v>73</v>
      </c>
      <c r="C99" s="600" t="s">
        <v>143</v>
      </c>
      <c r="D99" s="601"/>
      <c r="E99" s="190" t="s">
        <v>139</v>
      </c>
      <c r="F99" s="191">
        <v>0</v>
      </c>
      <c r="G99" s="244" t="s">
        <v>85</v>
      </c>
      <c r="H99" s="248">
        <v>0</v>
      </c>
      <c r="I99" s="380">
        <f t="shared" si="25"/>
        <v>0</v>
      </c>
      <c r="J99" s="255" t="s">
        <v>139</v>
      </c>
      <c r="K99" s="517" t="s">
        <v>139</v>
      </c>
      <c r="L99" s="406" t="s">
        <v>139</v>
      </c>
      <c r="M99" s="411">
        <v>0</v>
      </c>
      <c r="N99" s="287" t="s">
        <v>139</v>
      </c>
      <c r="O99" s="308" t="str">
        <f>IF(OR(M99=0,N99="NA"),"NA",IFERROR(INDEX('Data - Reference'!$B$37:$B$50,MATCH('Unit Summary - Rent Roll'!$M99,INDEX('Data - Reference'!$B$37:$J$50,,MATCH('Unit Summary - Rent Roll'!$N99,'Data - Reference'!$B$37:$J$37,0)),-1),1),"NA"))</f>
        <v>NA</v>
      </c>
      <c r="P99" s="244" t="s">
        <v>85</v>
      </c>
      <c r="Q99" s="244" t="s">
        <v>85</v>
      </c>
      <c r="R99" s="193">
        <v>0</v>
      </c>
      <c r="S99" s="370">
        <f t="shared" si="26"/>
        <v>0</v>
      </c>
      <c r="T99" s="101">
        <f t="shared" si="27"/>
        <v>0</v>
      </c>
      <c r="U99" s="193">
        <v>0</v>
      </c>
      <c r="V99" s="370">
        <f t="shared" si="28"/>
        <v>0</v>
      </c>
      <c r="W99" s="101">
        <f t="shared" si="32"/>
        <v>0</v>
      </c>
      <c r="X99" s="72">
        <f>IFERROR(IF(INDEX(AC$14:AC$18,MATCH($E99,$AB$14:$AB$18,0))&lt;&gt;0,INDEX(AC$14:AC$18,MATCH($E99,$AB$14:$AB$18,0)),
IF($M99="Market",0,IF($L99="HUD FMR",INDEX('Data - Reference'!$B$31:$G$31,MATCH($E99,'Data - Reference'!$B$9:$G$9,0)),INDEX('Data - Reference'!$B$9:$G$31,MATCH($K99,'Data - Reference'!$B$9:$B$31,0),MATCH($E99,'Data - Reference'!$B$9:$G$9,0))))),0)</f>
        <v>0</v>
      </c>
      <c r="Y99" s="72">
        <f>IFERROR(IF(INDEX(AD$14:AD$18,MATCH($E99,$AB$14:$AB$18,0))&lt;&gt;0,INDEX(AD$14:AD$18,MATCH($E99,$AB$14:$AB$18,0)),
IF($K99="None - Market",0,-INDEX('Data - Reference'!$B$32:$G$32,MATCH($E99,'Data - Reference'!$B$9:$G$9,0)))),0)</f>
        <v>0</v>
      </c>
      <c r="Z99" s="76">
        <f t="shared" si="29"/>
        <v>0</v>
      </c>
      <c r="AA99" s="67">
        <f t="shared" si="30"/>
        <v>0</v>
      </c>
      <c r="AB99" s="101">
        <f t="shared" si="33"/>
        <v>0</v>
      </c>
      <c r="AC99" s="84">
        <f t="shared" si="34"/>
        <v>0</v>
      </c>
      <c r="AD99" s="86">
        <f t="shared" si="31"/>
        <v>0</v>
      </c>
      <c r="AE99" s="101">
        <f t="shared" si="35"/>
        <v>0</v>
      </c>
      <c r="AF99" s="424" t="str">
        <f t="shared" si="23"/>
        <v>NA</v>
      </c>
      <c r="AG99" s="429" t="str">
        <f t="shared" si="36"/>
        <v>NA</v>
      </c>
      <c r="AH99" s="429" t="str">
        <f t="shared" si="24"/>
        <v>NA</v>
      </c>
      <c r="AI99" s="426" t="str">
        <f t="shared" si="37"/>
        <v>NA</v>
      </c>
      <c r="AJ99" s="426" t="str">
        <f t="shared" si="38"/>
        <v>NA</v>
      </c>
      <c r="AK99" s="535" t="str">
        <f>IFERROR(INDEX('Current Tenant Policy-Reference'!Q:Q,MATCH('Unit Summary - Rent Roll'!AJ99,'Current Tenant Policy-Reference'!O:O,0)),"NA")</f>
        <v>NA</v>
      </c>
    </row>
    <row r="100" spans="2:37" ht="13.8" x14ac:dyDescent="0.3">
      <c r="B100" s="241">
        <v>74</v>
      </c>
      <c r="C100" s="600" t="s">
        <v>143</v>
      </c>
      <c r="D100" s="601"/>
      <c r="E100" s="190" t="s">
        <v>139</v>
      </c>
      <c r="F100" s="191">
        <v>0</v>
      </c>
      <c r="G100" s="244" t="s">
        <v>85</v>
      </c>
      <c r="H100" s="248">
        <v>0</v>
      </c>
      <c r="I100" s="380">
        <f t="shared" si="25"/>
        <v>0</v>
      </c>
      <c r="J100" s="255" t="s">
        <v>139</v>
      </c>
      <c r="K100" s="517" t="s">
        <v>139</v>
      </c>
      <c r="L100" s="406" t="s">
        <v>139</v>
      </c>
      <c r="M100" s="411">
        <v>0</v>
      </c>
      <c r="N100" s="287" t="s">
        <v>139</v>
      </c>
      <c r="O100" s="308" t="str">
        <f>IF(OR(M100=0,N100="NA"),"NA",IFERROR(INDEX('Data - Reference'!$B$37:$B$50,MATCH('Unit Summary - Rent Roll'!$M100,INDEX('Data - Reference'!$B$37:$J$50,,MATCH('Unit Summary - Rent Roll'!$N100,'Data - Reference'!$B$37:$J$37,0)),-1),1),"NA"))</f>
        <v>NA</v>
      </c>
      <c r="P100" s="244" t="s">
        <v>85</v>
      </c>
      <c r="Q100" s="244" t="s">
        <v>85</v>
      </c>
      <c r="R100" s="193">
        <v>0</v>
      </c>
      <c r="S100" s="370">
        <f t="shared" si="26"/>
        <v>0</v>
      </c>
      <c r="T100" s="101">
        <f t="shared" si="27"/>
        <v>0</v>
      </c>
      <c r="U100" s="193">
        <v>0</v>
      </c>
      <c r="V100" s="370">
        <f t="shared" si="28"/>
        <v>0</v>
      </c>
      <c r="W100" s="101">
        <f t="shared" si="32"/>
        <v>0</v>
      </c>
      <c r="X100" s="72">
        <f>IFERROR(IF(INDEX(AC$14:AC$18,MATCH($E100,$AB$14:$AB$18,0))&lt;&gt;0,INDEX(AC$14:AC$18,MATCH($E100,$AB$14:$AB$18,0)),
IF($M100="Market",0,IF($L100="HUD FMR",INDEX('Data - Reference'!$B$31:$G$31,MATCH($E100,'Data - Reference'!$B$9:$G$9,0)),INDEX('Data - Reference'!$B$9:$G$31,MATCH($K100,'Data - Reference'!$B$9:$B$31,0),MATCH($E100,'Data - Reference'!$B$9:$G$9,0))))),0)</f>
        <v>0</v>
      </c>
      <c r="Y100" s="72">
        <f>IFERROR(IF(INDEX(AD$14:AD$18,MATCH($E100,$AB$14:$AB$18,0))&lt;&gt;0,INDEX(AD$14:AD$18,MATCH($E100,$AB$14:$AB$18,0)),
IF($K100="None - Market",0,-INDEX('Data - Reference'!$B$32:$G$32,MATCH($E100,'Data - Reference'!$B$9:$G$9,0)))),0)</f>
        <v>0</v>
      </c>
      <c r="Z100" s="76">
        <f t="shared" si="29"/>
        <v>0</v>
      </c>
      <c r="AA100" s="67">
        <f t="shared" si="30"/>
        <v>0</v>
      </c>
      <c r="AB100" s="101">
        <f t="shared" si="33"/>
        <v>0</v>
      </c>
      <c r="AC100" s="84">
        <f t="shared" si="34"/>
        <v>0</v>
      </c>
      <c r="AD100" s="86">
        <f t="shared" si="31"/>
        <v>0</v>
      </c>
      <c r="AE100" s="101">
        <f t="shared" si="35"/>
        <v>0</v>
      </c>
      <c r="AF100" s="424" t="str">
        <f t="shared" si="23"/>
        <v>NA</v>
      </c>
      <c r="AG100" s="429" t="str">
        <f t="shared" si="36"/>
        <v>NA</v>
      </c>
      <c r="AH100" s="429" t="str">
        <f t="shared" si="24"/>
        <v>NA</v>
      </c>
      <c r="AI100" s="426" t="str">
        <f t="shared" si="37"/>
        <v>NA</v>
      </c>
      <c r="AJ100" s="426" t="str">
        <f t="shared" si="38"/>
        <v>NA</v>
      </c>
      <c r="AK100" s="535" t="str">
        <f>IFERROR(INDEX('Current Tenant Policy-Reference'!Q:Q,MATCH('Unit Summary - Rent Roll'!AJ100,'Current Tenant Policy-Reference'!O:O,0)),"NA")</f>
        <v>NA</v>
      </c>
    </row>
    <row r="101" spans="2:37" ht="13.8" x14ac:dyDescent="0.3">
      <c r="B101" s="241">
        <v>75</v>
      </c>
      <c r="C101" s="600" t="s">
        <v>143</v>
      </c>
      <c r="D101" s="601"/>
      <c r="E101" s="190" t="s">
        <v>139</v>
      </c>
      <c r="F101" s="191">
        <v>0</v>
      </c>
      <c r="G101" s="244" t="s">
        <v>85</v>
      </c>
      <c r="H101" s="248">
        <v>0</v>
      </c>
      <c r="I101" s="380">
        <f t="shared" si="25"/>
        <v>0</v>
      </c>
      <c r="J101" s="255" t="s">
        <v>139</v>
      </c>
      <c r="K101" s="517" t="s">
        <v>139</v>
      </c>
      <c r="L101" s="406" t="s">
        <v>139</v>
      </c>
      <c r="M101" s="411">
        <v>0</v>
      </c>
      <c r="N101" s="287" t="s">
        <v>139</v>
      </c>
      <c r="O101" s="308" t="str">
        <f>IF(OR(M101=0,N101="NA"),"NA",IFERROR(INDEX('Data - Reference'!$B$37:$B$50,MATCH('Unit Summary - Rent Roll'!$M101,INDEX('Data - Reference'!$B$37:$J$50,,MATCH('Unit Summary - Rent Roll'!$N101,'Data - Reference'!$B$37:$J$37,0)),-1),1),"NA"))</f>
        <v>NA</v>
      </c>
      <c r="P101" s="244" t="s">
        <v>85</v>
      </c>
      <c r="Q101" s="244" t="s">
        <v>85</v>
      </c>
      <c r="R101" s="193">
        <v>0</v>
      </c>
      <c r="S101" s="370">
        <f t="shared" si="26"/>
        <v>0</v>
      </c>
      <c r="T101" s="101">
        <f t="shared" si="27"/>
        <v>0</v>
      </c>
      <c r="U101" s="193">
        <v>0</v>
      </c>
      <c r="V101" s="370">
        <f t="shared" si="28"/>
        <v>0</v>
      </c>
      <c r="W101" s="101">
        <f t="shared" si="32"/>
        <v>0</v>
      </c>
      <c r="X101" s="72">
        <f>IFERROR(IF(INDEX(AC$14:AC$18,MATCH($E101,$AB$14:$AB$18,0))&lt;&gt;0,INDEX(AC$14:AC$18,MATCH($E101,$AB$14:$AB$18,0)),
IF($M101="Market",0,IF($L101="HUD FMR",INDEX('Data - Reference'!$B$31:$G$31,MATCH($E101,'Data - Reference'!$B$9:$G$9,0)),INDEX('Data - Reference'!$B$9:$G$31,MATCH($K101,'Data - Reference'!$B$9:$B$31,0),MATCH($E101,'Data - Reference'!$B$9:$G$9,0))))),0)</f>
        <v>0</v>
      </c>
      <c r="Y101" s="72">
        <f>IFERROR(IF(INDEX(AD$14:AD$18,MATCH($E101,$AB$14:$AB$18,0))&lt;&gt;0,INDEX(AD$14:AD$18,MATCH($E101,$AB$14:$AB$18,0)),
IF($K101="None - Market",0,-INDEX('Data - Reference'!$B$32:$G$32,MATCH($E101,'Data - Reference'!$B$9:$G$9,0)))),0)</f>
        <v>0</v>
      </c>
      <c r="Z101" s="76">
        <f t="shared" si="29"/>
        <v>0</v>
      </c>
      <c r="AA101" s="67">
        <f t="shared" si="30"/>
        <v>0</v>
      </c>
      <c r="AB101" s="101">
        <f t="shared" si="33"/>
        <v>0</v>
      </c>
      <c r="AC101" s="84">
        <f t="shared" si="34"/>
        <v>0</v>
      </c>
      <c r="AD101" s="86">
        <f t="shared" si="31"/>
        <v>0</v>
      </c>
      <c r="AE101" s="101">
        <f t="shared" si="35"/>
        <v>0</v>
      </c>
      <c r="AF101" s="424" t="str">
        <f t="shared" si="23"/>
        <v>NA</v>
      </c>
      <c r="AG101" s="429" t="str">
        <f t="shared" si="36"/>
        <v>NA</v>
      </c>
      <c r="AH101" s="429" t="str">
        <f t="shared" si="24"/>
        <v>NA</v>
      </c>
      <c r="AI101" s="426" t="str">
        <f t="shared" si="37"/>
        <v>NA</v>
      </c>
      <c r="AJ101" s="426" t="str">
        <f t="shared" si="38"/>
        <v>NA</v>
      </c>
      <c r="AK101" s="535" t="str">
        <f>IFERROR(INDEX('Current Tenant Policy-Reference'!Q:Q,MATCH('Unit Summary - Rent Roll'!AJ101,'Current Tenant Policy-Reference'!O:O,0)),"NA")</f>
        <v>NA</v>
      </c>
    </row>
    <row r="102" spans="2:37" ht="13.8" x14ac:dyDescent="0.3">
      <c r="B102" s="241">
        <v>76</v>
      </c>
      <c r="C102" s="600" t="s">
        <v>143</v>
      </c>
      <c r="D102" s="601"/>
      <c r="E102" s="190" t="s">
        <v>139</v>
      </c>
      <c r="F102" s="191">
        <v>0</v>
      </c>
      <c r="G102" s="244" t="s">
        <v>85</v>
      </c>
      <c r="H102" s="248">
        <v>0</v>
      </c>
      <c r="I102" s="380">
        <f t="shared" si="25"/>
        <v>0</v>
      </c>
      <c r="J102" s="255" t="s">
        <v>139</v>
      </c>
      <c r="K102" s="517" t="s">
        <v>139</v>
      </c>
      <c r="L102" s="406" t="s">
        <v>139</v>
      </c>
      <c r="M102" s="411">
        <v>0</v>
      </c>
      <c r="N102" s="287" t="s">
        <v>139</v>
      </c>
      <c r="O102" s="308" t="str">
        <f>IF(OR(M102=0,N102="NA"),"NA",IFERROR(INDEX('Data - Reference'!$B$37:$B$50,MATCH('Unit Summary - Rent Roll'!$M102,INDEX('Data - Reference'!$B$37:$J$50,,MATCH('Unit Summary - Rent Roll'!$N102,'Data - Reference'!$B$37:$J$37,0)),-1),1),"NA"))</f>
        <v>NA</v>
      </c>
      <c r="P102" s="244" t="s">
        <v>85</v>
      </c>
      <c r="Q102" s="244" t="s">
        <v>85</v>
      </c>
      <c r="R102" s="193">
        <v>0</v>
      </c>
      <c r="S102" s="370">
        <f t="shared" si="26"/>
        <v>0</v>
      </c>
      <c r="T102" s="101">
        <f t="shared" si="27"/>
        <v>0</v>
      </c>
      <c r="U102" s="193">
        <v>0</v>
      </c>
      <c r="V102" s="370">
        <f t="shared" si="28"/>
        <v>0</v>
      </c>
      <c r="W102" s="101">
        <f t="shared" si="32"/>
        <v>0</v>
      </c>
      <c r="X102" s="72">
        <f>IFERROR(IF(INDEX(AC$14:AC$18,MATCH($E102,$AB$14:$AB$18,0))&lt;&gt;0,INDEX(AC$14:AC$18,MATCH($E102,$AB$14:$AB$18,0)),
IF($M102="Market",0,IF($L102="HUD FMR",INDEX('Data - Reference'!$B$31:$G$31,MATCH($E102,'Data - Reference'!$B$9:$G$9,0)),INDEX('Data - Reference'!$B$9:$G$31,MATCH($K102,'Data - Reference'!$B$9:$B$31,0),MATCH($E102,'Data - Reference'!$B$9:$G$9,0))))),0)</f>
        <v>0</v>
      </c>
      <c r="Y102" s="72">
        <f>IFERROR(IF(INDEX(AD$14:AD$18,MATCH($E102,$AB$14:$AB$18,0))&lt;&gt;0,INDEX(AD$14:AD$18,MATCH($E102,$AB$14:$AB$18,0)),
IF($K102="None - Market",0,-INDEX('Data - Reference'!$B$32:$G$32,MATCH($E102,'Data - Reference'!$B$9:$G$9,0)))),0)</f>
        <v>0</v>
      </c>
      <c r="Z102" s="76">
        <f t="shared" si="29"/>
        <v>0</v>
      </c>
      <c r="AA102" s="67">
        <f t="shared" si="30"/>
        <v>0</v>
      </c>
      <c r="AB102" s="101">
        <f t="shared" si="33"/>
        <v>0</v>
      </c>
      <c r="AC102" s="84">
        <f t="shared" si="34"/>
        <v>0</v>
      </c>
      <c r="AD102" s="86">
        <f t="shared" si="31"/>
        <v>0</v>
      </c>
      <c r="AE102" s="101">
        <f t="shared" si="35"/>
        <v>0</v>
      </c>
      <c r="AF102" s="424" t="str">
        <f t="shared" si="23"/>
        <v>NA</v>
      </c>
      <c r="AG102" s="429" t="str">
        <f t="shared" si="36"/>
        <v>NA</v>
      </c>
      <c r="AH102" s="429" t="str">
        <f t="shared" si="24"/>
        <v>NA</v>
      </c>
      <c r="AI102" s="426" t="str">
        <f t="shared" si="37"/>
        <v>NA</v>
      </c>
      <c r="AJ102" s="426" t="str">
        <f t="shared" si="38"/>
        <v>NA</v>
      </c>
      <c r="AK102" s="535" t="str">
        <f>IFERROR(INDEX('Current Tenant Policy-Reference'!Q:Q,MATCH('Unit Summary - Rent Roll'!AJ102,'Current Tenant Policy-Reference'!O:O,0)),"NA")</f>
        <v>NA</v>
      </c>
    </row>
    <row r="103" spans="2:37" ht="13.8" x14ac:dyDescent="0.3">
      <c r="B103" s="241">
        <v>77</v>
      </c>
      <c r="C103" s="600" t="s">
        <v>143</v>
      </c>
      <c r="D103" s="601"/>
      <c r="E103" s="190" t="s">
        <v>139</v>
      </c>
      <c r="F103" s="191">
        <v>0</v>
      </c>
      <c r="G103" s="244" t="s">
        <v>85</v>
      </c>
      <c r="H103" s="248">
        <v>0</v>
      </c>
      <c r="I103" s="380">
        <f t="shared" si="25"/>
        <v>0</v>
      </c>
      <c r="J103" s="255" t="s">
        <v>139</v>
      </c>
      <c r="K103" s="517" t="s">
        <v>139</v>
      </c>
      <c r="L103" s="406" t="s">
        <v>139</v>
      </c>
      <c r="M103" s="411">
        <v>0</v>
      </c>
      <c r="N103" s="287" t="s">
        <v>139</v>
      </c>
      <c r="O103" s="308" t="str">
        <f>IF(OR(M103=0,N103="NA"),"NA",IFERROR(INDEX('Data - Reference'!$B$37:$B$50,MATCH('Unit Summary - Rent Roll'!$M103,INDEX('Data - Reference'!$B$37:$J$50,,MATCH('Unit Summary - Rent Roll'!$N103,'Data - Reference'!$B$37:$J$37,0)),-1),1),"NA"))</f>
        <v>NA</v>
      </c>
      <c r="P103" s="244" t="s">
        <v>85</v>
      </c>
      <c r="Q103" s="244" t="s">
        <v>85</v>
      </c>
      <c r="R103" s="193">
        <v>0</v>
      </c>
      <c r="S103" s="370">
        <f t="shared" si="26"/>
        <v>0</v>
      </c>
      <c r="T103" s="101">
        <f t="shared" si="27"/>
        <v>0</v>
      </c>
      <c r="U103" s="193">
        <v>0</v>
      </c>
      <c r="V103" s="370">
        <f t="shared" si="28"/>
        <v>0</v>
      </c>
      <c r="W103" s="101">
        <f t="shared" si="32"/>
        <v>0</v>
      </c>
      <c r="X103" s="72">
        <f>IFERROR(IF(INDEX(AC$14:AC$18,MATCH($E103,$AB$14:$AB$18,0))&lt;&gt;0,INDEX(AC$14:AC$18,MATCH($E103,$AB$14:$AB$18,0)),
IF($M103="Market",0,IF($L103="HUD FMR",INDEX('Data - Reference'!$B$31:$G$31,MATCH($E103,'Data - Reference'!$B$9:$G$9,0)),INDEX('Data - Reference'!$B$9:$G$31,MATCH($K103,'Data - Reference'!$B$9:$B$31,0),MATCH($E103,'Data - Reference'!$B$9:$G$9,0))))),0)</f>
        <v>0</v>
      </c>
      <c r="Y103" s="72">
        <f>IFERROR(IF(INDEX(AD$14:AD$18,MATCH($E103,$AB$14:$AB$18,0))&lt;&gt;0,INDEX(AD$14:AD$18,MATCH($E103,$AB$14:$AB$18,0)),
IF($K103="None - Market",0,-INDEX('Data - Reference'!$B$32:$G$32,MATCH($E103,'Data - Reference'!$B$9:$G$9,0)))),0)</f>
        <v>0</v>
      </c>
      <c r="Z103" s="76">
        <f t="shared" si="29"/>
        <v>0</v>
      </c>
      <c r="AA103" s="67">
        <f t="shared" si="30"/>
        <v>0</v>
      </c>
      <c r="AB103" s="101">
        <f t="shared" si="33"/>
        <v>0</v>
      </c>
      <c r="AC103" s="84">
        <f t="shared" si="34"/>
        <v>0</v>
      </c>
      <c r="AD103" s="86">
        <f t="shared" si="31"/>
        <v>0</v>
      </c>
      <c r="AE103" s="101">
        <f t="shared" si="35"/>
        <v>0</v>
      </c>
      <c r="AF103" s="424" t="str">
        <f t="shared" si="23"/>
        <v>NA</v>
      </c>
      <c r="AG103" s="429" t="str">
        <f t="shared" si="36"/>
        <v>NA</v>
      </c>
      <c r="AH103" s="429" t="str">
        <f t="shared" si="24"/>
        <v>NA</v>
      </c>
      <c r="AI103" s="426" t="str">
        <f t="shared" si="37"/>
        <v>NA</v>
      </c>
      <c r="AJ103" s="426" t="str">
        <f t="shared" si="38"/>
        <v>NA</v>
      </c>
      <c r="AK103" s="535" t="str">
        <f>IFERROR(INDEX('Current Tenant Policy-Reference'!Q:Q,MATCH('Unit Summary - Rent Roll'!AJ103,'Current Tenant Policy-Reference'!O:O,0)),"NA")</f>
        <v>NA</v>
      </c>
    </row>
    <row r="104" spans="2:37" ht="13.8" x14ac:dyDescent="0.3">
      <c r="B104" s="241">
        <v>78</v>
      </c>
      <c r="C104" s="600" t="s">
        <v>143</v>
      </c>
      <c r="D104" s="601"/>
      <c r="E104" s="190" t="s">
        <v>139</v>
      </c>
      <c r="F104" s="191">
        <v>0</v>
      </c>
      <c r="G104" s="244" t="s">
        <v>85</v>
      </c>
      <c r="H104" s="248">
        <v>0</v>
      </c>
      <c r="I104" s="380">
        <f t="shared" si="25"/>
        <v>0</v>
      </c>
      <c r="J104" s="255" t="s">
        <v>139</v>
      </c>
      <c r="K104" s="517" t="s">
        <v>139</v>
      </c>
      <c r="L104" s="406" t="s">
        <v>139</v>
      </c>
      <c r="M104" s="411">
        <v>0</v>
      </c>
      <c r="N104" s="287" t="s">
        <v>139</v>
      </c>
      <c r="O104" s="308" t="str">
        <f>IF(OR(M104=0,N104="NA"),"NA",IFERROR(INDEX('Data - Reference'!$B$37:$B$50,MATCH('Unit Summary - Rent Roll'!$M104,INDEX('Data - Reference'!$B$37:$J$50,,MATCH('Unit Summary - Rent Roll'!$N104,'Data - Reference'!$B$37:$J$37,0)),-1),1),"NA"))</f>
        <v>NA</v>
      </c>
      <c r="P104" s="244" t="s">
        <v>85</v>
      </c>
      <c r="Q104" s="244" t="s">
        <v>85</v>
      </c>
      <c r="R104" s="193">
        <v>0</v>
      </c>
      <c r="S104" s="370">
        <f t="shared" si="26"/>
        <v>0</v>
      </c>
      <c r="T104" s="101">
        <f t="shared" si="27"/>
        <v>0</v>
      </c>
      <c r="U104" s="193">
        <v>0</v>
      </c>
      <c r="V104" s="370">
        <f t="shared" si="28"/>
        <v>0</v>
      </c>
      <c r="W104" s="101">
        <f t="shared" si="32"/>
        <v>0</v>
      </c>
      <c r="X104" s="72">
        <f>IFERROR(IF(INDEX(AC$14:AC$18,MATCH($E104,$AB$14:$AB$18,0))&lt;&gt;0,INDEX(AC$14:AC$18,MATCH($E104,$AB$14:$AB$18,0)),
IF($M104="Market",0,IF($L104="HUD FMR",INDEX('Data - Reference'!$B$31:$G$31,MATCH($E104,'Data - Reference'!$B$9:$G$9,0)),INDEX('Data - Reference'!$B$9:$G$31,MATCH($K104,'Data - Reference'!$B$9:$B$31,0),MATCH($E104,'Data - Reference'!$B$9:$G$9,0))))),0)</f>
        <v>0</v>
      </c>
      <c r="Y104" s="72">
        <f>IFERROR(IF(INDEX(AD$14:AD$18,MATCH($E104,$AB$14:$AB$18,0))&lt;&gt;0,INDEX(AD$14:AD$18,MATCH($E104,$AB$14:$AB$18,0)),
IF($K104="None - Market",0,-INDEX('Data - Reference'!$B$32:$G$32,MATCH($E104,'Data - Reference'!$B$9:$G$9,0)))),0)</f>
        <v>0</v>
      </c>
      <c r="Z104" s="76">
        <f t="shared" si="29"/>
        <v>0</v>
      </c>
      <c r="AA104" s="67">
        <f t="shared" si="30"/>
        <v>0</v>
      </c>
      <c r="AB104" s="101">
        <f t="shared" si="33"/>
        <v>0</v>
      </c>
      <c r="AC104" s="84">
        <f t="shared" si="34"/>
        <v>0</v>
      </c>
      <c r="AD104" s="86">
        <f t="shared" si="31"/>
        <v>0</v>
      </c>
      <c r="AE104" s="101">
        <f t="shared" si="35"/>
        <v>0</v>
      </c>
      <c r="AF104" s="424" t="str">
        <f t="shared" si="23"/>
        <v>NA</v>
      </c>
      <c r="AG104" s="429" t="str">
        <f t="shared" si="36"/>
        <v>NA</v>
      </c>
      <c r="AH104" s="429" t="str">
        <f t="shared" si="24"/>
        <v>NA</v>
      </c>
      <c r="AI104" s="426" t="str">
        <f t="shared" si="37"/>
        <v>NA</v>
      </c>
      <c r="AJ104" s="426" t="str">
        <f t="shared" si="38"/>
        <v>NA</v>
      </c>
      <c r="AK104" s="535" t="str">
        <f>IFERROR(INDEX('Current Tenant Policy-Reference'!Q:Q,MATCH('Unit Summary - Rent Roll'!AJ104,'Current Tenant Policy-Reference'!O:O,0)),"NA")</f>
        <v>NA</v>
      </c>
    </row>
    <row r="105" spans="2:37" ht="13.8" x14ac:dyDescent="0.3">
      <c r="B105" s="241">
        <v>79</v>
      </c>
      <c r="C105" s="600" t="s">
        <v>143</v>
      </c>
      <c r="D105" s="601"/>
      <c r="E105" s="190" t="s">
        <v>139</v>
      </c>
      <c r="F105" s="191">
        <v>0</v>
      </c>
      <c r="G105" s="244" t="s">
        <v>85</v>
      </c>
      <c r="H105" s="248">
        <v>0</v>
      </c>
      <c r="I105" s="380">
        <f t="shared" si="25"/>
        <v>0</v>
      </c>
      <c r="J105" s="255" t="s">
        <v>139</v>
      </c>
      <c r="K105" s="517" t="s">
        <v>139</v>
      </c>
      <c r="L105" s="406" t="s">
        <v>139</v>
      </c>
      <c r="M105" s="411">
        <v>0</v>
      </c>
      <c r="N105" s="287" t="s">
        <v>139</v>
      </c>
      <c r="O105" s="308" t="str">
        <f>IF(OR(M105=0,N105="NA"),"NA",IFERROR(INDEX('Data - Reference'!$B$37:$B$50,MATCH('Unit Summary - Rent Roll'!$M105,INDEX('Data - Reference'!$B$37:$J$50,,MATCH('Unit Summary - Rent Roll'!$N105,'Data - Reference'!$B$37:$J$37,0)),-1),1),"NA"))</f>
        <v>NA</v>
      </c>
      <c r="P105" s="244" t="s">
        <v>85</v>
      </c>
      <c r="Q105" s="244" t="s">
        <v>85</v>
      </c>
      <c r="R105" s="193">
        <v>0</v>
      </c>
      <c r="S105" s="370">
        <f t="shared" si="26"/>
        <v>0</v>
      </c>
      <c r="T105" s="101">
        <f t="shared" si="27"/>
        <v>0</v>
      </c>
      <c r="U105" s="193">
        <v>0</v>
      </c>
      <c r="V105" s="370">
        <f t="shared" si="28"/>
        <v>0</v>
      </c>
      <c r="W105" s="101">
        <f t="shared" si="32"/>
        <v>0</v>
      </c>
      <c r="X105" s="72">
        <f>IFERROR(IF(INDEX(AC$14:AC$18,MATCH($E105,$AB$14:$AB$18,0))&lt;&gt;0,INDEX(AC$14:AC$18,MATCH($E105,$AB$14:$AB$18,0)),
IF($M105="Market",0,IF($L105="HUD FMR",INDEX('Data - Reference'!$B$31:$G$31,MATCH($E105,'Data - Reference'!$B$9:$G$9,0)),INDEX('Data - Reference'!$B$9:$G$31,MATCH($K105,'Data - Reference'!$B$9:$B$31,0),MATCH($E105,'Data - Reference'!$B$9:$G$9,0))))),0)</f>
        <v>0</v>
      </c>
      <c r="Y105" s="72">
        <f>IFERROR(IF(INDEX(AD$14:AD$18,MATCH($E105,$AB$14:$AB$18,0))&lt;&gt;0,INDEX(AD$14:AD$18,MATCH($E105,$AB$14:$AB$18,0)),
IF($K105="None - Market",0,-INDEX('Data - Reference'!$B$32:$G$32,MATCH($E105,'Data - Reference'!$B$9:$G$9,0)))),0)</f>
        <v>0</v>
      </c>
      <c r="Z105" s="76">
        <f t="shared" si="29"/>
        <v>0</v>
      </c>
      <c r="AA105" s="67">
        <f t="shared" si="30"/>
        <v>0</v>
      </c>
      <c r="AB105" s="101">
        <f t="shared" si="33"/>
        <v>0</v>
      </c>
      <c r="AC105" s="84">
        <f t="shared" si="34"/>
        <v>0</v>
      </c>
      <c r="AD105" s="86">
        <f t="shared" si="31"/>
        <v>0</v>
      </c>
      <c r="AE105" s="101">
        <f t="shared" si="35"/>
        <v>0</v>
      </c>
      <c r="AF105" s="424" t="str">
        <f t="shared" si="23"/>
        <v>NA</v>
      </c>
      <c r="AG105" s="429" t="str">
        <f t="shared" si="36"/>
        <v>NA</v>
      </c>
      <c r="AH105" s="429" t="str">
        <f t="shared" si="24"/>
        <v>NA</v>
      </c>
      <c r="AI105" s="426" t="str">
        <f t="shared" si="37"/>
        <v>NA</v>
      </c>
      <c r="AJ105" s="426" t="str">
        <f t="shared" si="38"/>
        <v>NA</v>
      </c>
      <c r="AK105" s="535" t="str">
        <f>IFERROR(INDEX('Current Tenant Policy-Reference'!Q:Q,MATCH('Unit Summary - Rent Roll'!AJ105,'Current Tenant Policy-Reference'!O:O,0)),"NA")</f>
        <v>NA</v>
      </c>
    </row>
    <row r="106" spans="2:37" ht="13.8" x14ac:dyDescent="0.3">
      <c r="B106" s="241">
        <v>80</v>
      </c>
      <c r="C106" s="600" t="s">
        <v>143</v>
      </c>
      <c r="D106" s="601"/>
      <c r="E106" s="190" t="s">
        <v>139</v>
      </c>
      <c r="F106" s="191">
        <v>0</v>
      </c>
      <c r="G106" s="244" t="s">
        <v>85</v>
      </c>
      <c r="H106" s="248">
        <v>0</v>
      </c>
      <c r="I106" s="380">
        <f t="shared" si="25"/>
        <v>0</v>
      </c>
      <c r="J106" s="255" t="s">
        <v>139</v>
      </c>
      <c r="K106" s="517" t="s">
        <v>139</v>
      </c>
      <c r="L106" s="406" t="s">
        <v>139</v>
      </c>
      <c r="M106" s="411">
        <v>0</v>
      </c>
      <c r="N106" s="287" t="s">
        <v>139</v>
      </c>
      <c r="O106" s="308" t="str">
        <f>IF(OR(M106=0,N106="NA"),"NA",IFERROR(INDEX('Data - Reference'!$B$37:$B$50,MATCH('Unit Summary - Rent Roll'!$M106,INDEX('Data - Reference'!$B$37:$J$50,,MATCH('Unit Summary - Rent Roll'!$N106,'Data - Reference'!$B$37:$J$37,0)),-1),1),"NA"))</f>
        <v>NA</v>
      </c>
      <c r="P106" s="244" t="s">
        <v>85</v>
      </c>
      <c r="Q106" s="244" t="s">
        <v>85</v>
      </c>
      <c r="R106" s="193">
        <v>0</v>
      </c>
      <c r="S106" s="370">
        <f t="shared" si="26"/>
        <v>0</v>
      </c>
      <c r="T106" s="101">
        <f t="shared" si="27"/>
        <v>0</v>
      </c>
      <c r="U106" s="193">
        <v>0</v>
      </c>
      <c r="V106" s="370">
        <f t="shared" si="28"/>
        <v>0</v>
      </c>
      <c r="W106" s="101">
        <f t="shared" si="32"/>
        <v>0</v>
      </c>
      <c r="X106" s="72">
        <f>IFERROR(IF(INDEX(AC$14:AC$18,MATCH($E106,$AB$14:$AB$18,0))&lt;&gt;0,INDEX(AC$14:AC$18,MATCH($E106,$AB$14:$AB$18,0)),
IF($M106="Market",0,IF($L106="HUD FMR",INDEX('Data - Reference'!$B$31:$G$31,MATCH($E106,'Data - Reference'!$B$9:$G$9,0)),INDEX('Data - Reference'!$B$9:$G$31,MATCH($K106,'Data - Reference'!$B$9:$B$31,0),MATCH($E106,'Data - Reference'!$B$9:$G$9,0))))),0)</f>
        <v>0</v>
      </c>
      <c r="Y106" s="72">
        <f>IFERROR(IF(INDEX(AD$14:AD$18,MATCH($E106,$AB$14:$AB$18,0))&lt;&gt;0,INDEX(AD$14:AD$18,MATCH($E106,$AB$14:$AB$18,0)),
IF($K106="None - Market",0,-INDEX('Data - Reference'!$B$32:$G$32,MATCH($E106,'Data - Reference'!$B$9:$G$9,0)))),0)</f>
        <v>0</v>
      </c>
      <c r="Z106" s="76">
        <f t="shared" si="29"/>
        <v>0</v>
      </c>
      <c r="AA106" s="67">
        <f t="shared" si="30"/>
        <v>0</v>
      </c>
      <c r="AB106" s="101">
        <f t="shared" si="33"/>
        <v>0</v>
      </c>
      <c r="AC106" s="84">
        <f t="shared" si="34"/>
        <v>0</v>
      </c>
      <c r="AD106" s="86">
        <f t="shared" si="31"/>
        <v>0</v>
      </c>
      <c r="AE106" s="101">
        <f t="shared" si="35"/>
        <v>0</v>
      </c>
      <c r="AF106" s="424" t="str">
        <f t="shared" si="23"/>
        <v>NA</v>
      </c>
      <c r="AG106" s="429" t="str">
        <f t="shared" si="36"/>
        <v>NA</v>
      </c>
      <c r="AH106" s="429" t="str">
        <f t="shared" si="24"/>
        <v>NA</v>
      </c>
      <c r="AI106" s="426" t="str">
        <f t="shared" si="37"/>
        <v>NA</v>
      </c>
      <c r="AJ106" s="426" t="str">
        <f t="shared" si="38"/>
        <v>NA</v>
      </c>
      <c r="AK106" s="535" t="str">
        <f>IFERROR(INDEX('Current Tenant Policy-Reference'!Q:Q,MATCH('Unit Summary - Rent Roll'!AJ106,'Current Tenant Policy-Reference'!O:O,0)),"NA")</f>
        <v>NA</v>
      </c>
    </row>
    <row r="107" spans="2:37" ht="13.8" x14ac:dyDescent="0.3">
      <c r="B107" s="241">
        <v>81</v>
      </c>
      <c r="C107" s="600" t="s">
        <v>143</v>
      </c>
      <c r="D107" s="601"/>
      <c r="E107" s="190" t="s">
        <v>139</v>
      </c>
      <c r="F107" s="191">
        <v>0</v>
      </c>
      <c r="G107" s="244" t="s">
        <v>85</v>
      </c>
      <c r="H107" s="248">
        <v>0</v>
      </c>
      <c r="I107" s="380">
        <f t="shared" si="25"/>
        <v>0</v>
      </c>
      <c r="J107" s="255" t="s">
        <v>139</v>
      </c>
      <c r="K107" s="517" t="s">
        <v>139</v>
      </c>
      <c r="L107" s="406" t="s">
        <v>139</v>
      </c>
      <c r="M107" s="411">
        <v>0</v>
      </c>
      <c r="N107" s="287" t="s">
        <v>139</v>
      </c>
      <c r="O107" s="308" t="str">
        <f>IF(OR(M107=0,N107="NA"),"NA",IFERROR(INDEX('Data - Reference'!$B$37:$B$50,MATCH('Unit Summary - Rent Roll'!$M107,INDEX('Data - Reference'!$B$37:$J$50,,MATCH('Unit Summary - Rent Roll'!$N107,'Data - Reference'!$B$37:$J$37,0)),-1),1),"NA"))</f>
        <v>NA</v>
      </c>
      <c r="P107" s="244" t="s">
        <v>85</v>
      </c>
      <c r="Q107" s="244" t="s">
        <v>85</v>
      </c>
      <c r="R107" s="193">
        <v>0</v>
      </c>
      <c r="S107" s="370">
        <f t="shared" si="26"/>
        <v>0</v>
      </c>
      <c r="T107" s="101">
        <f t="shared" si="27"/>
        <v>0</v>
      </c>
      <c r="U107" s="193">
        <v>0</v>
      </c>
      <c r="V107" s="370">
        <f t="shared" si="28"/>
        <v>0</v>
      </c>
      <c r="W107" s="101">
        <f t="shared" si="32"/>
        <v>0</v>
      </c>
      <c r="X107" s="72">
        <f>IFERROR(IF(INDEX(AC$14:AC$18,MATCH($E107,$AB$14:$AB$18,0))&lt;&gt;0,INDEX(AC$14:AC$18,MATCH($E107,$AB$14:$AB$18,0)),
IF($M107="Market",0,IF($L107="HUD FMR",INDEX('Data - Reference'!$B$31:$G$31,MATCH($E107,'Data - Reference'!$B$9:$G$9,0)),INDEX('Data - Reference'!$B$9:$G$31,MATCH($K107,'Data - Reference'!$B$9:$B$31,0),MATCH($E107,'Data - Reference'!$B$9:$G$9,0))))),0)</f>
        <v>0</v>
      </c>
      <c r="Y107" s="72">
        <f>IFERROR(IF(INDEX(AD$14:AD$18,MATCH($E107,$AB$14:$AB$18,0))&lt;&gt;0,INDEX(AD$14:AD$18,MATCH($E107,$AB$14:$AB$18,0)),
IF($K107="None - Market",0,-INDEX('Data - Reference'!$B$32:$G$32,MATCH($E107,'Data - Reference'!$B$9:$G$9,0)))),0)</f>
        <v>0</v>
      </c>
      <c r="Z107" s="76">
        <f t="shared" si="29"/>
        <v>0</v>
      </c>
      <c r="AA107" s="67">
        <f t="shared" si="30"/>
        <v>0</v>
      </c>
      <c r="AB107" s="101">
        <f t="shared" si="33"/>
        <v>0</v>
      </c>
      <c r="AC107" s="84">
        <f t="shared" si="34"/>
        <v>0</v>
      </c>
      <c r="AD107" s="86">
        <f t="shared" si="31"/>
        <v>0</v>
      </c>
      <c r="AE107" s="101">
        <f t="shared" si="35"/>
        <v>0</v>
      </c>
      <c r="AF107" s="424" t="str">
        <f t="shared" si="23"/>
        <v>NA</v>
      </c>
      <c r="AG107" s="429" t="str">
        <f t="shared" si="36"/>
        <v>NA</v>
      </c>
      <c r="AH107" s="429" t="str">
        <f t="shared" si="24"/>
        <v>NA</v>
      </c>
      <c r="AI107" s="426" t="str">
        <f t="shared" si="37"/>
        <v>NA</v>
      </c>
      <c r="AJ107" s="426" t="str">
        <f t="shared" si="38"/>
        <v>NA</v>
      </c>
      <c r="AK107" s="535" t="str">
        <f>IFERROR(INDEX('Current Tenant Policy-Reference'!Q:Q,MATCH('Unit Summary - Rent Roll'!AJ107,'Current Tenant Policy-Reference'!O:O,0)),"NA")</f>
        <v>NA</v>
      </c>
    </row>
    <row r="108" spans="2:37" ht="13.8" x14ac:dyDescent="0.3">
      <c r="B108" s="241">
        <v>82</v>
      </c>
      <c r="C108" s="600" t="s">
        <v>143</v>
      </c>
      <c r="D108" s="601"/>
      <c r="E108" s="190" t="s">
        <v>139</v>
      </c>
      <c r="F108" s="191">
        <v>0</v>
      </c>
      <c r="G108" s="244" t="s">
        <v>85</v>
      </c>
      <c r="H108" s="248">
        <v>0</v>
      </c>
      <c r="I108" s="380">
        <f t="shared" si="25"/>
        <v>0</v>
      </c>
      <c r="J108" s="255" t="s">
        <v>139</v>
      </c>
      <c r="K108" s="517" t="s">
        <v>139</v>
      </c>
      <c r="L108" s="406" t="s">
        <v>139</v>
      </c>
      <c r="M108" s="411">
        <v>0</v>
      </c>
      <c r="N108" s="287" t="s">
        <v>139</v>
      </c>
      <c r="O108" s="308" t="str">
        <f>IF(OR(M108=0,N108="NA"),"NA",IFERROR(INDEX('Data - Reference'!$B$37:$B$50,MATCH('Unit Summary - Rent Roll'!$M108,INDEX('Data - Reference'!$B$37:$J$50,,MATCH('Unit Summary - Rent Roll'!$N108,'Data - Reference'!$B$37:$J$37,0)),-1),1),"NA"))</f>
        <v>NA</v>
      </c>
      <c r="P108" s="244" t="s">
        <v>85</v>
      </c>
      <c r="Q108" s="244" t="s">
        <v>85</v>
      </c>
      <c r="R108" s="193">
        <v>0</v>
      </c>
      <c r="S108" s="370">
        <f t="shared" si="26"/>
        <v>0</v>
      </c>
      <c r="T108" s="101">
        <f t="shared" si="27"/>
        <v>0</v>
      </c>
      <c r="U108" s="193">
        <v>0</v>
      </c>
      <c r="V108" s="370">
        <f t="shared" si="28"/>
        <v>0</v>
      </c>
      <c r="W108" s="101">
        <f t="shared" si="32"/>
        <v>0</v>
      </c>
      <c r="X108" s="72">
        <f>IFERROR(IF(INDEX(AC$14:AC$18,MATCH($E108,$AB$14:$AB$18,0))&lt;&gt;0,INDEX(AC$14:AC$18,MATCH($E108,$AB$14:$AB$18,0)),
IF($M108="Market",0,IF($L108="HUD FMR",INDEX('Data - Reference'!$B$31:$G$31,MATCH($E108,'Data - Reference'!$B$9:$G$9,0)),INDEX('Data - Reference'!$B$9:$G$31,MATCH($K108,'Data - Reference'!$B$9:$B$31,0),MATCH($E108,'Data - Reference'!$B$9:$G$9,0))))),0)</f>
        <v>0</v>
      </c>
      <c r="Y108" s="72">
        <f>IFERROR(IF(INDEX(AD$14:AD$18,MATCH($E108,$AB$14:$AB$18,0))&lt;&gt;0,INDEX(AD$14:AD$18,MATCH($E108,$AB$14:$AB$18,0)),
IF($K108="None - Market",0,-INDEX('Data - Reference'!$B$32:$G$32,MATCH($E108,'Data - Reference'!$B$9:$G$9,0)))),0)</f>
        <v>0</v>
      </c>
      <c r="Z108" s="76">
        <f t="shared" si="29"/>
        <v>0</v>
      </c>
      <c r="AA108" s="67">
        <f t="shared" si="30"/>
        <v>0</v>
      </c>
      <c r="AB108" s="101">
        <f t="shared" si="33"/>
        <v>0</v>
      </c>
      <c r="AC108" s="84">
        <f t="shared" si="34"/>
        <v>0</v>
      </c>
      <c r="AD108" s="86">
        <f t="shared" si="31"/>
        <v>0</v>
      </c>
      <c r="AE108" s="101">
        <f t="shared" si="35"/>
        <v>0</v>
      </c>
      <c r="AF108" s="424" t="str">
        <f t="shared" si="23"/>
        <v>NA</v>
      </c>
      <c r="AG108" s="429" t="str">
        <f t="shared" si="36"/>
        <v>NA</v>
      </c>
      <c r="AH108" s="429" t="str">
        <f t="shared" si="24"/>
        <v>NA</v>
      </c>
      <c r="AI108" s="426" t="str">
        <f t="shared" si="37"/>
        <v>NA</v>
      </c>
      <c r="AJ108" s="426" t="str">
        <f t="shared" si="38"/>
        <v>NA</v>
      </c>
      <c r="AK108" s="535" t="str">
        <f>IFERROR(INDEX('Current Tenant Policy-Reference'!Q:Q,MATCH('Unit Summary - Rent Roll'!AJ108,'Current Tenant Policy-Reference'!O:O,0)),"NA")</f>
        <v>NA</v>
      </c>
    </row>
    <row r="109" spans="2:37" ht="13.8" x14ac:dyDescent="0.3">
      <c r="B109" s="241">
        <v>83</v>
      </c>
      <c r="C109" s="600" t="s">
        <v>143</v>
      </c>
      <c r="D109" s="601"/>
      <c r="E109" s="190" t="s">
        <v>139</v>
      </c>
      <c r="F109" s="191">
        <v>0</v>
      </c>
      <c r="G109" s="244" t="s">
        <v>85</v>
      </c>
      <c r="H109" s="248">
        <v>0</v>
      </c>
      <c r="I109" s="380">
        <f t="shared" si="25"/>
        <v>0</v>
      </c>
      <c r="J109" s="255" t="s">
        <v>139</v>
      </c>
      <c r="K109" s="517" t="s">
        <v>139</v>
      </c>
      <c r="L109" s="406" t="s">
        <v>139</v>
      </c>
      <c r="M109" s="411">
        <v>0</v>
      </c>
      <c r="N109" s="287" t="s">
        <v>139</v>
      </c>
      <c r="O109" s="308" t="str">
        <f>IF(OR(M109=0,N109="NA"),"NA",IFERROR(INDEX('Data - Reference'!$B$37:$B$50,MATCH('Unit Summary - Rent Roll'!$M109,INDEX('Data - Reference'!$B$37:$J$50,,MATCH('Unit Summary - Rent Roll'!$N109,'Data - Reference'!$B$37:$J$37,0)),-1),1),"NA"))</f>
        <v>NA</v>
      </c>
      <c r="P109" s="244" t="s">
        <v>85</v>
      </c>
      <c r="Q109" s="244" t="s">
        <v>85</v>
      </c>
      <c r="R109" s="193">
        <v>0</v>
      </c>
      <c r="S109" s="370">
        <f t="shared" si="26"/>
        <v>0</v>
      </c>
      <c r="T109" s="101">
        <f t="shared" si="27"/>
        <v>0</v>
      </c>
      <c r="U109" s="193">
        <v>0</v>
      </c>
      <c r="V109" s="370">
        <f t="shared" si="28"/>
        <v>0</v>
      </c>
      <c r="W109" s="101">
        <f t="shared" si="32"/>
        <v>0</v>
      </c>
      <c r="X109" s="72">
        <f>IFERROR(IF(INDEX(AC$14:AC$18,MATCH($E109,$AB$14:$AB$18,0))&lt;&gt;0,INDEX(AC$14:AC$18,MATCH($E109,$AB$14:$AB$18,0)),
IF($M109="Market",0,IF($L109="HUD FMR",INDEX('Data - Reference'!$B$31:$G$31,MATCH($E109,'Data - Reference'!$B$9:$G$9,0)),INDEX('Data - Reference'!$B$9:$G$31,MATCH($K109,'Data - Reference'!$B$9:$B$31,0),MATCH($E109,'Data - Reference'!$B$9:$G$9,0))))),0)</f>
        <v>0</v>
      </c>
      <c r="Y109" s="72">
        <f>IFERROR(IF(INDEX(AD$14:AD$18,MATCH($E109,$AB$14:$AB$18,0))&lt;&gt;0,INDEX(AD$14:AD$18,MATCH($E109,$AB$14:$AB$18,0)),
IF($K109="None - Market",0,-INDEX('Data - Reference'!$B$32:$G$32,MATCH($E109,'Data - Reference'!$B$9:$G$9,0)))),0)</f>
        <v>0</v>
      </c>
      <c r="Z109" s="76">
        <f t="shared" si="29"/>
        <v>0</v>
      </c>
      <c r="AA109" s="67">
        <f t="shared" si="30"/>
        <v>0</v>
      </c>
      <c r="AB109" s="101">
        <f t="shared" si="33"/>
        <v>0</v>
      </c>
      <c r="AC109" s="84">
        <f t="shared" si="34"/>
        <v>0</v>
      </c>
      <c r="AD109" s="86">
        <f t="shared" si="31"/>
        <v>0</v>
      </c>
      <c r="AE109" s="101">
        <f t="shared" si="35"/>
        <v>0</v>
      </c>
      <c r="AF109" s="424" t="str">
        <f t="shared" si="23"/>
        <v>NA</v>
      </c>
      <c r="AG109" s="429" t="str">
        <f t="shared" si="36"/>
        <v>NA</v>
      </c>
      <c r="AH109" s="429" t="str">
        <f t="shared" si="24"/>
        <v>NA</v>
      </c>
      <c r="AI109" s="426" t="str">
        <f t="shared" si="37"/>
        <v>NA</v>
      </c>
      <c r="AJ109" s="426" t="str">
        <f t="shared" si="38"/>
        <v>NA</v>
      </c>
      <c r="AK109" s="535" t="str">
        <f>IFERROR(INDEX('Current Tenant Policy-Reference'!Q:Q,MATCH('Unit Summary - Rent Roll'!AJ109,'Current Tenant Policy-Reference'!O:O,0)),"NA")</f>
        <v>NA</v>
      </c>
    </row>
    <row r="110" spans="2:37" ht="13.8" x14ac:dyDescent="0.3">
      <c r="B110" s="241">
        <v>84</v>
      </c>
      <c r="C110" s="600" t="s">
        <v>143</v>
      </c>
      <c r="D110" s="601"/>
      <c r="E110" s="190" t="s">
        <v>139</v>
      </c>
      <c r="F110" s="191">
        <v>0</v>
      </c>
      <c r="G110" s="244" t="s">
        <v>85</v>
      </c>
      <c r="H110" s="248">
        <v>0</v>
      </c>
      <c r="I110" s="380">
        <f t="shared" si="25"/>
        <v>0</v>
      </c>
      <c r="J110" s="255" t="s">
        <v>139</v>
      </c>
      <c r="K110" s="517" t="s">
        <v>139</v>
      </c>
      <c r="L110" s="406" t="s">
        <v>139</v>
      </c>
      <c r="M110" s="411">
        <v>0</v>
      </c>
      <c r="N110" s="287" t="s">
        <v>139</v>
      </c>
      <c r="O110" s="308" t="str">
        <f>IF(OR(M110=0,N110="NA"),"NA",IFERROR(INDEX('Data - Reference'!$B$37:$B$50,MATCH('Unit Summary - Rent Roll'!$M110,INDEX('Data - Reference'!$B$37:$J$50,,MATCH('Unit Summary - Rent Roll'!$N110,'Data - Reference'!$B$37:$J$37,0)),-1),1),"NA"))</f>
        <v>NA</v>
      </c>
      <c r="P110" s="244" t="s">
        <v>85</v>
      </c>
      <c r="Q110" s="244" t="s">
        <v>85</v>
      </c>
      <c r="R110" s="193">
        <v>0</v>
      </c>
      <c r="S110" s="370">
        <f t="shared" si="26"/>
        <v>0</v>
      </c>
      <c r="T110" s="101">
        <f t="shared" si="27"/>
        <v>0</v>
      </c>
      <c r="U110" s="193">
        <v>0</v>
      </c>
      <c r="V110" s="370">
        <f t="shared" si="28"/>
        <v>0</v>
      </c>
      <c r="W110" s="101">
        <f t="shared" si="32"/>
        <v>0</v>
      </c>
      <c r="X110" s="72">
        <f>IFERROR(IF(INDEX(AC$14:AC$18,MATCH($E110,$AB$14:$AB$18,0))&lt;&gt;0,INDEX(AC$14:AC$18,MATCH($E110,$AB$14:$AB$18,0)),
IF($M110="Market",0,IF($L110="HUD FMR",INDEX('Data - Reference'!$B$31:$G$31,MATCH($E110,'Data - Reference'!$B$9:$G$9,0)),INDEX('Data - Reference'!$B$9:$G$31,MATCH($K110,'Data - Reference'!$B$9:$B$31,0),MATCH($E110,'Data - Reference'!$B$9:$G$9,0))))),0)</f>
        <v>0</v>
      </c>
      <c r="Y110" s="72">
        <f>IFERROR(IF(INDEX(AD$14:AD$18,MATCH($E110,$AB$14:$AB$18,0))&lt;&gt;0,INDEX(AD$14:AD$18,MATCH($E110,$AB$14:$AB$18,0)),
IF($K110="None - Market",0,-INDEX('Data - Reference'!$B$32:$G$32,MATCH($E110,'Data - Reference'!$B$9:$G$9,0)))),0)</f>
        <v>0</v>
      </c>
      <c r="Z110" s="76">
        <f t="shared" si="29"/>
        <v>0</v>
      </c>
      <c r="AA110" s="67">
        <f t="shared" si="30"/>
        <v>0</v>
      </c>
      <c r="AB110" s="101">
        <f t="shared" si="33"/>
        <v>0</v>
      </c>
      <c r="AC110" s="84">
        <f t="shared" si="34"/>
        <v>0</v>
      </c>
      <c r="AD110" s="86">
        <f t="shared" si="31"/>
        <v>0</v>
      </c>
      <c r="AE110" s="101">
        <f t="shared" si="35"/>
        <v>0</v>
      </c>
      <c r="AF110" s="424" t="str">
        <f t="shared" si="23"/>
        <v>NA</v>
      </c>
      <c r="AG110" s="429" t="str">
        <f t="shared" si="36"/>
        <v>NA</v>
      </c>
      <c r="AH110" s="429" t="str">
        <f t="shared" si="24"/>
        <v>NA</v>
      </c>
      <c r="AI110" s="426" t="str">
        <f t="shared" si="37"/>
        <v>NA</v>
      </c>
      <c r="AJ110" s="426" t="str">
        <f t="shared" si="38"/>
        <v>NA</v>
      </c>
      <c r="AK110" s="535" t="str">
        <f>IFERROR(INDEX('Current Tenant Policy-Reference'!Q:Q,MATCH('Unit Summary - Rent Roll'!AJ110,'Current Tenant Policy-Reference'!O:O,0)),"NA")</f>
        <v>NA</v>
      </c>
    </row>
    <row r="111" spans="2:37" ht="13.8" x14ac:dyDescent="0.3">
      <c r="B111" s="241">
        <v>85</v>
      </c>
      <c r="C111" s="600" t="s">
        <v>143</v>
      </c>
      <c r="D111" s="601"/>
      <c r="E111" s="190" t="s">
        <v>139</v>
      </c>
      <c r="F111" s="191">
        <v>0</v>
      </c>
      <c r="G111" s="244" t="s">
        <v>85</v>
      </c>
      <c r="H111" s="248">
        <v>0</v>
      </c>
      <c r="I111" s="380">
        <f t="shared" si="25"/>
        <v>0</v>
      </c>
      <c r="J111" s="255" t="s">
        <v>139</v>
      </c>
      <c r="K111" s="517" t="s">
        <v>139</v>
      </c>
      <c r="L111" s="406" t="s">
        <v>139</v>
      </c>
      <c r="M111" s="411">
        <v>0</v>
      </c>
      <c r="N111" s="287" t="s">
        <v>139</v>
      </c>
      <c r="O111" s="308" t="str">
        <f>IF(OR(M111=0,N111="NA"),"NA",IFERROR(INDEX('Data - Reference'!$B$37:$B$50,MATCH('Unit Summary - Rent Roll'!$M111,INDEX('Data - Reference'!$B$37:$J$50,,MATCH('Unit Summary - Rent Roll'!$N111,'Data - Reference'!$B$37:$J$37,0)),-1),1),"NA"))</f>
        <v>NA</v>
      </c>
      <c r="P111" s="244" t="s">
        <v>85</v>
      </c>
      <c r="Q111" s="244" t="s">
        <v>85</v>
      </c>
      <c r="R111" s="193">
        <v>0</v>
      </c>
      <c r="S111" s="370">
        <f t="shared" si="26"/>
        <v>0</v>
      </c>
      <c r="T111" s="101">
        <f t="shared" si="27"/>
        <v>0</v>
      </c>
      <c r="U111" s="193">
        <v>0</v>
      </c>
      <c r="V111" s="370">
        <f t="shared" si="28"/>
        <v>0</v>
      </c>
      <c r="W111" s="101">
        <f t="shared" si="32"/>
        <v>0</v>
      </c>
      <c r="X111" s="72">
        <f>IFERROR(IF(INDEX(AC$14:AC$18,MATCH($E111,$AB$14:$AB$18,0))&lt;&gt;0,INDEX(AC$14:AC$18,MATCH($E111,$AB$14:$AB$18,0)),
IF($M111="Market",0,IF($L111="HUD FMR",INDEX('Data - Reference'!$B$31:$G$31,MATCH($E111,'Data - Reference'!$B$9:$G$9,0)),INDEX('Data - Reference'!$B$9:$G$31,MATCH($K111,'Data - Reference'!$B$9:$B$31,0),MATCH($E111,'Data - Reference'!$B$9:$G$9,0))))),0)</f>
        <v>0</v>
      </c>
      <c r="Y111" s="72">
        <f>IFERROR(IF(INDEX(AD$14:AD$18,MATCH($E111,$AB$14:$AB$18,0))&lt;&gt;0,INDEX(AD$14:AD$18,MATCH($E111,$AB$14:$AB$18,0)),
IF($K111="None - Market",0,-INDEX('Data - Reference'!$B$32:$G$32,MATCH($E111,'Data - Reference'!$B$9:$G$9,0)))),0)</f>
        <v>0</v>
      </c>
      <c r="Z111" s="76">
        <f t="shared" si="29"/>
        <v>0</v>
      </c>
      <c r="AA111" s="67">
        <f t="shared" si="30"/>
        <v>0</v>
      </c>
      <c r="AB111" s="101">
        <f t="shared" si="33"/>
        <v>0</v>
      </c>
      <c r="AC111" s="84">
        <f t="shared" si="34"/>
        <v>0</v>
      </c>
      <c r="AD111" s="86">
        <f t="shared" si="31"/>
        <v>0</v>
      </c>
      <c r="AE111" s="101">
        <f t="shared" si="35"/>
        <v>0</v>
      </c>
      <c r="AF111" s="424" t="str">
        <f t="shared" si="23"/>
        <v>NA</v>
      </c>
      <c r="AG111" s="429" t="str">
        <f t="shared" si="36"/>
        <v>NA</v>
      </c>
      <c r="AH111" s="429" t="str">
        <f t="shared" si="24"/>
        <v>NA</v>
      </c>
      <c r="AI111" s="426" t="str">
        <f t="shared" si="37"/>
        <v>NA</v>
      </c>
      <c r="AJ111" s="426" t="str">
        <f t="shared" si="38"/>
        <v>NA</v>
      </c>
      <c r="AK111" s="535" t="str">
        <f>IFERROR(INDEX('Current Tenant Policy-Reference'!Q:Q,MATCH('Unit Summary - Rent Roll'!AJ111,'Current Tenant Policy-Reference'!O:O,0)),"NA")</f>
        <v>NA</v>
      </c>
    </row>
    <row r="112" spans="2:37" ht="13.8" x14ac:dyDescent="0.3">
      <c r="B112" s="241">
        <v>86</v>
      </c>
      <c r="C112" s="600" t="s">
        <v>143</v>
      </c>
      <c r="D112" s="601"/>
      <c r="E112" s="190" t="s">
        <v>139</v>
      </c>
      <c r="F112" s="191">
        <v>0</v>
      </c>
      <c r="G112" s="244" t="s">
        <v>85</v>
      </c>
      <c r="H112" s="248">
        <v>0</v>
      </c>
      <c r="I112" s="380">
        <f t="shared" si="25"/>
        <v>0</v>
      </c>
      <c r="J112" s="255" t="s">
        <v>139</v>
      </c>
      <c r="K112" s="517" t="s">
        <v>139</v>
      </c>
      <c r="L112" s="406" t="s">
        <v>139</v>
      </c>
      <c r="M112" s="411">
        <v>0</v>
      </c>
      <c r="N112" s="287" t="s">
        <v>139</v>
      </c>
      <c r="O112" s="308" t="str">
        <f>IF(OR(M112=0,N112="NA"),"NA",IFERROR(INDEX('Data - Reference'!$B$37:$B$50,MATCH('Unit Summary - Rent Roll'!$M112,INDEX('Data - Reference'!$B$37:$J$50,,MATCH('Unit Summary - Rent Roll'!$N112,'Data - Reference'!$B$37:$J$37,0)),-1),1),"NA"))</f>
        <v>NA</v>
      </c>
      <c r="P112" s="244" t="s">
        <v>85</v>
      </c>
      <c r="Q112" s="244" t="s">
        <v>85</v>
      </c>
      <c r="R112" s="193">
        <v>0</v>
      </c>
      <c r="S112" s="370">
        <f t="shared" si="26"/>
        <v>0</v>
      </c>
      <c r="T112" s="101">
        <f t="shared" si="27"/>
        <v>0</v>
      </c>
      <c r="U112" s="193">
        <v>0</v>
      </c>
      <c r="V112" s="370">
        <f t="shared" si="28"/>
        <v>0</v>
      </c>
      <c r="W112" s="101">
        <f t="shared" si="32"/>
        <v>0</v>
      </c>
      <c r="X112" s="72">
        <f>IFERROR(IF(INDEX(AC$14:AC$18,MATCH($E112,$AB$14:$AB$18,0))&lt;&gt;0,INDEX(AC$14:AC$18,MATCH($E112,$AB$14:$AB$18,0)),
IF($M112="Market",0,IF($L112="HUD FMR",INDEX('Data - Reference'!$B$31:$G$31,MATCH($E112,'Data - Reference'!$B$9:$G$9,0)),INDEX('Data - Reference'!$B$9:$G$31,MATCH($K112,'Data - Reference'!$B$9:$B$31,0),MATCH($E112,'Data - Reference'!$B$9:$G$9,0))))),0)</f>
        <v>0</v>
      </c>
      <c r="Y112" s="72">
        <f>IFERROR(IF(INDEX(AD$14:AD$18,MATCH($E112,$AB$14:$AB$18,0))&lt;&gt;0,INDEX(AD$14:AD$18,MATCH($E112,$AB$14:$AB$18,0)),
IF($K112="None - Market",0,-INDEX('Data - Reference'!$B$32:$G$32,MATCH($E112,'Data - Reference'!$B$9:$G$9,0)))),0)</f>
        <v>0</v>
      </c>
      <c r="Z112" s="76">
        <f t="shared" si="29"/>
        <v>0</v>
      </c>
      <c r="AA112" s="67">
        <f t="shared" si="30"/>
        <v>0</v>
      </c>
      <c r="AB112" s="101">
        <f t="shared" si="33"/>
        <v>0</v>
      </c>
      <c r="AC112" s="84">
        <f t="shared" si="34"/>
        <v>0</v>
      </c>
      <c r="AD112" s="86">
        <f t="shared" si="31"/>
        <v>0</v>
      </c>
      <c r="AE112" s="101">
        <f t="shared" si="35"/>
        <v>0</v>
      </c>
      <c r="AF112" s="424" t="str">
        <f t="shared" si="23"/>
        <v>NA</v>
      </c>
      <c r="AG112" s="429" t="str">
        <f t="shared" si="36"/>
        <v>NA</v>
      </c>
      <c r="AH112" s="429" t="str">
        <f t="shared" si="24"/>
        <v>NA</v>
      </c>
      <c r="AI112" s="426" t="str">
        <f t="shared" si="37"/>
        <v>NA</v>
      </c>
      <c r="AJ112" s="426" t="str">
        <f t="shared" si="38"/>
        <v>NA</v>
      </c>
      <c r="AK112" s="535" t="str">
        <f>IFERROR(INDEX('Current Tenant Policy-Reference'!Q:Q,MATCH('Unit Summary - Rent Roll'!AJ112,'Current Tenant Policy-Reference'!O:O,0)),"NA")</f>
        <v>NA</v>
      </c>
    </row>
    <row r="113" spans="2:37" ht="13.8" x14ac:dyDescent="0.3">
      <c r="B113" s="241">
        <v>87</v>
      </c>
      <c r="C113" s="600" t="s">
        <v>143</v>
      </c>
      <c r="D113" s="601"/>
      <c r="E113" s="190" t="s">
        <v>139</v>
      </c>
      <c r="F113" s="191">
        <v>0</v>
      </c>
      <c r="G113" s="244" t="s">
        <v>85</v>
      </c>
      <c r="H113" s="248">
        <v>0</v>
      </c>
      <c r="I113" s="380">
        <f t="shared" si="25"/>
        <v>0</v>
      </c>
      <c r="J113" s="255" t="s">
        <v>139</v>
      </c>
      <c r="K113" s="517" t="s">
        <v>139</v>
      </c>
      <c r="L113" s="406" t="s">
        <v>139</v>
      </c>
      <c r="M113" s="411">
        <v>0</v>
      </c>
      <c r="N113" s="287" t="s">
        <v>139</v>
      </c>
      <c r="O113" s="308" t="str">
        <f>IF(OR(M113=0,N113="NA"),"NA",IFERROR(INDEX('Data - Reference'!$B$37:$B$50,MATCH('Unit Summary - Rent Roll'!$M113,INDEX('Data - Reference'!$B$37:$J$50,,MATCH('Unit Summary - Rent Roll'!$N113,'Data - Reference'!$B$37:$J$37,0)),-1),1),"NA"))</f>
        <v>NA</v>
      </c>
      <c r="P113" s="244" t="s">
        <v>85</v>
      </c>
      <c r="Q113" s="244" t="s">
        <v>85</v>
      </c>
      <c r="R113" s="193">
        <v>0</v>
      </c>
      <c r="S113" s="370">
        <f t="shared" si="26"/>
        <v>0</v>
      </c>
      <c r="T113" s="101">
        <f t="shared" si="27"/>
        <v>0</v>
      </c>
      <c r="U113" s="193">
        <v>0</v>
      </c>
      <c r="V113" s="370">
        <f t="shared" si="28"/>
        <v>0</v>
      </c>
      <c r="W113" s="101">
        <f t="shared" si="32"/>
        <v>0</v>
      </c>
      <c r="X113" s="72">
        <f>IFERROR(IF(INDEX(AC$14:AC$18,MATCH($E113,$AB$14:$AB$18,0))&lt;&gt;0,INDEX(AC$14:AC$18,MATCH($E113,$AB$14:$AB$18,0)),
IF($M113="Market",0,IF($L113="HUD FMR",INDEX('Data - Reference'!$B$31:$G$31,MATCH($E113,'Data - Reference'!$B$9:$G$9,0)),INDEX('Data - Reference'!$B$9:$G$31,MATCH($K113,'Data - Reference'!$B$9:$B$31,0),MATCH($E113,'Data - Reference'!$B$9:$G$9,0))))),0)</f>
        <v>0</v>
      </c>
      <c r="Y113" s="72">
        <f>IFERROR(IF(INDEX(AD$14:AD$18,MATCH($E113,$AB$14:$AB$18,0))&lt;&gt;0,INDEX(AD$14:AD$18,MATCH($E113,$AB$14:$AB$18,0)),
IF($K113="None - Market",0,-INDEX('Data - Reference'!$B$32:$G$32,MATCH($E113,'Data - Reference'!$B$9:$G$9,0)))),0)</f>
        <v>0</v>
      </c>
      <c r="Z113" s="76">
        <f t="shared" si="29"/>
        <v>0</v>
      </c>
      <c r="AA113" s="67">
        <f t="shared" si="30"/>
        <v>0</v>
      </c>
      <c r="AB113" s="101">
        <f t="shared" si="33"/>
        <v>0</v>
      </c>
      <c r="AC113" s="84">
        <f t="shared" si="34"/>
        <v>0</v>
      </c>
      <c r="AD113" s="86">
        <f t="shared" si="31"/>
        <v>0</v>
      </c>
      <c r="AE113" s="101">
        <f t="shared" si="35"/>
        <v>0</v>
      </c>
      <c r="AF113" s="424" t="str">
        <f t="shared" si="23"/>
        <v>NA</v>
      </c>
      <c r="AG113" s="429" t="str">
        <f t="shared" si="36"/>
        <v>NA</v>
      </c>
      <c r="AH113" s="429" t="str">
        <f t="shared" si="24"/>
        <v>NA</v>
      </c>
      <c r="AI113" s="426" t="str">
        <f t="shared" si="37"/>
        <v>NA</v>
      </c>
      <c r="AJ113" s="426" t="str">
        <f t="shared" si="38"/>
        <v>NA</v>
      </c>
      <c r="AK113" s="535" t="str">
        <f>IFERROR(INDEX('Current Tenant Policy-Reference'!Q:Q,MATCH('Unit Summary - Rent Roll'!AJ113,'Current Tenant Policy-Reference'!O:O,0)),"NA")</f>
        <v>NA</v>
      </c>
    </row>
    <row r="114" spans="2:37" ht="13.8" x14ac:dyDescent="0.3">
      <c r="B114" s="241">
        <v>88</v>
      </c>
      <c r="C114" s="600" t="s">
        <v>143</v>
      </c>
      <c r="D114" s="601"/>
      <c r="E114" s="190" t="s">
        <v>139</v>
      </c>
      <c r="F114" s="191">
        <v>0</v>
      </c>
      <c r="G114" s="244" t="s">
        <v>85</v>
      </c>
      <c r="H114" s="248">
        <v>0</v>
      </c>
      <c r="I114" s="380">
        <f t="shared" si="25"/>
        <v>0</v>
      </c>
      <c r="J114" s="255" t="s">
        <v>139</v>
      </c>
      <c r="K114" s="517" t="s">
        <v>139</v>
      </c>
      <c r="L114" s="406" t="s">
        <v>139</v>
      </c>
      <c r="M114" s="411">
        <v>0</v>
      </c>
      <c r="N114" s="287" t="s">
        <v>139</v>
      </c>
      <c r="O114" s="308" t="str">
        <f>IF(OR(M114=0,N114="NA"),"NA",IFERROR(INDEX('Data - Reference'!$B$37:$B$50,MATCH('Unit Summary - Rent Roll'!$M114,INDEX('Data - Reference'!$B$37:$J$50,,MATCH('Unit Summary - Rent Roll'!$N114,'Data - Reference'!$B$37:$J$37,0)),-1),1),"NA"))</f>
        <v>NA</v>
      </c>
      <c r="P114" s="244" t="s">
        <v>85</v>
      </c>
      <c r="Q114" s="244" t="s">
        <v>85</v>
      </c>
      <c r="R114" s="193">
        <v>0</v>
      </c>
      <c r="S114" s="370">
        <f t="shared" si="26"/>
        <v>0</v>
      </c>
      <c r="T114" s="101">
        <f t="shared" si="27"/>
        <v>0</v>
      </c>
      <c r="U114" s="193">
        <v>0</v>
      </c>
      <c r="V114" s="370">
        <f t="shared" si="28"/>
        <v>0</v>
      </c>
      <c r="W114" s="101">
        <f t="shared" si="32"/>
        <v>0</v>
      </c>
      <c r="X114" s="72">
        <f>IFERROR(IF(INDEX(AC$14:AC$18,MATCH($E114,$AB$14:$AB$18,0))&lt;&gt;0,INDEX(AC$14:AC$18,MATCH($E114,$AB$14:$AB$18,0)),
IF($M114="Market",0,IF($L114="HUD FMR",INDEX('Data - Reference'!$B$31:$G$31,MATCH($E114,'Data - Reference'!$B$9:$G$9,0)),INDEX('Data - Reference'!$B$9:$G$31,MATCH($K114,'Data - Reference'!$B$9:$B$31,0),MATCH($E114,'Data - Reference'!$B$9:$G$9,0))))),0)</f>
        <v>0</v>
      </c>
      <c r="Y114" s="72">
        <f>IFERROR(IF(INDEX(AD$14:AD$18,MATCH($E114,$AB$14:$AB$18,0))&lt;&gt;0,INDEX(AD$14:AD$18,MATCH($E114,$AB$14:$AB$18,0)),
IF($K114="None - Market",0,-INDEX('Data - Reference'!$B$32:$G$32,MATCH($E114,'Data - Reference'!$B$9:$G$9,0)))),0)</f>
        <v>0</v>
      </c>
      <c r="Z114" s="76">
        <f t="shared" si="29"/>
        <v>0</v>
      </c>
      <c r="AA114" s="67">
        <f t="shared" si="30"/>
        <v>0</v>
      </c>
      <c r="AB114" s="101">
        <f t="shared" si="33"/>
        <v>0</v>
      </c>
      <c r="AC114" s="84">
        <f t="shared" si="34"/>
        <v>0</v>
      </c>
      <c r="AD114" s="86">
        <f t="shared" si="31"/>
        <v>0</v>
      </c>
      <c r="AE114" s="101">
        <f t="shared" si="35"/>
        <v>0</v>
      </c>
      <c r="AF114" s="424" t="str">
        <f t="shared" si="23"/>
        <v>NA</v>
      </c>
      <c r="AG114" s="429" t="str">
        <f t="shared" si="36"/>
        <v>NA</v>
      </c>
      <c r="AH114" s="429" t="str">
        <f t="shared" si="24"/>
        <v>NA</v>
      </c>
      <c r="AI114" s="426" t="str">
        <f t="shared" si="37"/>
        <v>NA</v>
      </c>
      <c r="AJ114" s="426" t="str">
        <f t="shared" si="38"/>
        <v>NA</v>
      </c>
      <c r="AK114" s="535" t="str">
        <f>IFERROR(INDEX('Current Tenant Policy-Reference'!Q:Q,MATCH('Unit Summary - Rent Roll'!AJ114,'Current Tenant Policy-Reference'!O:O,0)),"NA")</f>
        <v>NA</v>
      </c>
    </row>
    <row r="115" spans="2:37" ht="13.8" x14ac:dyDescent="0.3">
      <c r="B115" s="241">
        <v>89</v>
      </c>
      <c r="C115" s="600" t="s">
        <v>143</v>
      </c>
      <c r="D115" s="601"/>
      <c r="E115" s="190" t="s">
        <v>139</v>
      </c>
      <c r="F115" s="191">
        <v>0</v>
      </c>
      <c r="G115" s="244" t="s">
        <v>85</v>
      </c>
      <c r="H115" s="248">
        <v>0</v>
      </c>
      <c r="I115" s="380">
        <f t="shared" si="25"/>
        <v>0</v>
      </c>
      <c r="J115" s="255" t="s">
        <v>139</v>
      </c>
      <c r="K115" s="517" t="s">
        <v>139</v>
      </c>
      <c r="L115" s="406" t="s">
        <v>139</v>
      </c>
      <c r="M115" s="411">
        <v>0</v>
      </c>
      <c r="N115" s="287" t="s">
        <v>139</v>
      </c>
      <c r="O115" s="308" t="str">
        <f>IF(OR(M115=0,N115="NA"),"NA",IFERROR(INDEX('Data - Reference'!$B$37:$B$50,MATCH('Unit Summary - Rent Roll'!$M115,INDEX('Data - Reference'!$B$37:$J$50,,MATCH('Unit Summary - Rent Roll'!$N115,'Data - Reference'!$B$37:$J$37,0)),-1),1),"NA"))</f>
        <v>NA</v>
      </c>
      <c r="P115" s="244" t="s">
        <v>85</v>
      </c>
      <c r="Q115" s="244" t="s">
        <v>85</v>
      </c>
      <c r="R115" s="193">
        <v>0</v>
      </c>
      <c r="S115" s="370">
        <f t="shared" si="26"/>
        <v>0</v>
      </c>
      <c r="T115" s="101">
        <f t="shared" si="27"/>
        <v>0</v>
      </c>
      <c r="U115" s="193">
        <v>0</v>
      </c>
      <c r="V115" s="370">
        <f t="shared" si="28"/>
        <v>0</v>
      </c>
      <c r="W115" s="101">
        <f t="shared" si="32"/>
        <v>0</v>
      </c>
      <c r="X115" s="72">
        <f>IFERROR(IF(INDEX(AC$14:AC$18,MATCH($E115,$AB$14:$AB$18,0))&lt;&gt;0,INDEX(AC$14:AC$18,MATCH($E115,$AB$14:$AB$18,0)),
IF($M115="Market",0,IF($L115="HUD FMR",INDEX('Data - Reference'!$B$31:$G$31,MATCH($E115,'Data - Reference'!$B$9:$G$9,0)),INDEX('Data - Reference'!$B$9:$G$31,MATCH($K115,'Data - Reference'!$B$9:$B$31,0),MATCH($E115,'Data - Reference'!$B$9:$G$9,0))))),0)</f>
        <v>0</v>
      </c>
      <c r="Y115" s="72">
        <f>IFERROR(IF(INDEX(AD$14:AD$18,MATCH($E115,$AB$14:$AB$18,0))&lt;&gt;0,INDEX(AD$14:AD$18,MATCH($E115,$AB$14:$AB$18,0)),
IF($K115="None - Market",0,-INDEX('Data - Reference'!$B$32:$G$32,MATCH($E115,'Data - Reference'!$B$9:$G$9,0)))),0)</f>
        <v>0</v>
      </c>
      <c r="Z115" s="76">
        <f t="shared" si="29"/>
        <v>0</v>
      </c>
      <c r="AA115" s="67">
        <f t="shared" si="30"/>
        <v>0</v>
      </c>
      <c r="AB115" s="101">
        <f t="shared" si="33"/>
        <v>0</v>
      </c>
      <c r="AC115" s="84">
        <f t="shared" si="34"/>
        <v>0</v>
      </c>
      <c r="AD115" s="86">
        <f t="shared" si="31"/>
        <v>0</v>
      </c>
      <c r="AE115" s="101">
        <f t="shared" si="35"/>
        <v>0</v>
      </c>
      <c r="AF115" s="424" t="str">
        <f t="shared" si="23"/>
        <v>NA</v>
      </c>
      <c r="AG115" s="429" t="str">
        <f t="shared" si="36"/>
        <v>NA</v>
      </c>
      <c r="AH115" s="429" t="str">
        <f t="shared" si="24"/>
        <v>NA</v>
      </c>
      <c r="AI115" s="426" t="str">
        <f t="shared" si="37"/>
        <v>NA</v>
      </c>
      <c r="AJ115" s="426" t="str">
        <f t="shared" si="38"/>
        <v>NA</v>
      </c>
      <c r="AK115" s="535" t="str">
        <f>IFERROR(INDEX('Current Tenant Policy-Reference'!Q:Q,MATCH('Unit Summary - Rent Roll'!AJ115,'Current Tenant Policy-Reference'!O:O,0)),"NA")</f>
        <v>NA</v>
      </c>
    </row>
    <row r="116" spans="2:37" ht="13.8" x14ac:dyDescent="0.3">
      <c r="B116" s="241">
        <v>90</v>
      </c>
      <c r="C116" s="600" t="s">
        <v>143</v>
      </c>
      <c r="D116" s="601"/>
      <c r="E116" s="190" t="s">
        <v>139</v>
      </c>
      <c r="F116" s="191">
        <v>0</v>
      </c>
      <c r="G116" s="244" t="s">
        <v>85</v>
      </c>
      <c r="H116" s="248">
        <v>0</v>
      </c>
      <c r="I116" s="380">
        <f t="shared" si="25"/>
        <v>0</v>
      </c>
      <c r="J116" s="255" t="s">
        <v>139</v>
      </c>
      <c r="K116" s="517" t="s">
        <v>139</v>
      </c>
      <c r="L116" s="406" t="s">
        <v>139</v>
      </c>
      <c r="M116" s="411">
        <v>0</v>
      </c>
      <c r="N116" s="287" t="s">
        <v>139</v>
      </c>
      <c r="O116" s="308" t="str">
        <f>IF(OR(M116=0,N116="NA"),"NA",IFERROR(INDEX('Data - Reference'!$B$37:$B$50,MATCH('Unit Summary - Rent Roll'!$M116,INDEX('Data - Reference'!$B$37:$J$50,,MATCH('Unit Summary - Rent Roll'!$N116,'Data - Reference'!$B$37:$J$37,0)),-1),1),"NA"))</f>
        <v>NA</v>
      </c>
      <c r="P116" s="244" t="s">
        <v>85</v>
      </c>
      <c r="Q116" s="244" t="s">
        <v>85</v>
      </c>
      <c r="R116" s="193">
        <v>0</v>
      </c>
      <c r="S116" s="370">
        <f t="shared" si="26"/>
        <v>0</v>
      </c>
      <c r="T116" s="101">
        <f t="shared" si="27"/>
        <v>0</v>
      </c>
      <c r="U116" s="193">
        <v>0</v>
      </c>
      <c r="V116" s="370">
        <f t="shared" si="28"/>
        <v>0</v>
      </c>
      <c r="W116" s="101">
        <f t="shared" si="32"/>
        <v>0</v>
      </c>
      <c r="X116" s="72">
        <f>IFERROR(IF(INDEX(AC$14:AC$18,MATCH($E116,$AB$14:$AB$18,0))&lt;&gt;0,INDEX(AC$14:AC$18,MATCH($E116,$AB$14:$AB$18,0)),
IF($M116="Market",0,IF($L116="HUD FMR",INDEX('Data - Reference'!$B$31:$G$31,MATCH($E116,'Data - Reference'!$B$9:$G$9,0)),INDEX('Data - Reference'!$B$9:$G$31,MATCH($K116,'Data - Reference'!$B$9:$B$31,0),MATCH($E116,'Data - Reference'!$B$9:$G$9,0))))),0)</f>
        <v>0</v>
      </c>
      <c r="Y116" s="72">
        <f>IFERROR(IF(INDEX(AD$14:AD$18,MATCH($E116,$AB$14:$AB$18,0))&lt;&gt;0,INDEX(AD$14:AD$18,MATCH($E116,$AB$14:$AB$18,0)),
IF($K116="None - Market",0,-INDEX('Data - Reference'!$B$32:$G$32,MATCH($E116,'Data - Reference'!$B$9:$G$9,0)))),0)</f>
        <v>0</v>
      </c>
      <c r="Z116" s="76">
        <f t="shared" si="29"/>
        <v>0</v>
      </c>
      <c r="AA116" s="67">
        <f t="shared" si="30"/>
        <v>0</v>
      </c>
      <c r="AB116" s="101">
        <f t="shared" si="33"/>
        <v>0</v>
      </c>
      <c r="AC116" s="84">
        <f t="shared" si="34"/>
        <v>0</v>
      </c>
      <c r="AD116" s="86">
        <f t="shared" si="31"/>
        <v>0</v>
      </c>
      <c r="AE116" s="101">
        <f t="shared" si="35"/>
        <v>0</v>
      </c>
      <c r="AF116" s="424" t="str">
        <f t="shared" si="23"/>
        <v>NA</v>
      </c>
      <c r="AG116" s="429" t="str">
        <f t="shared" si="36"/>
        <v>NA</v>
      </c>
      <c r="AH116" s="429" t="str">
        <f t="shared" si="24"/>
        <v>NA</v>
      </c>
      <c r="AI116" s="426" t="str">
        <f t="shared" si="37"/>
        <v>NA</v>
      </c>
      <c r="AJ116" s="426" t="str">
        <f t="shared" si="38"/>
        <v>NA</v>
      </c>
      <c r="AK116" s="535" t="str">
        <f>IFERROR(INDEX('Current Tenant Policy-Reference'!Q:Q,MATCH('Unit Summary - Rent Roll'!AJ116,'Current Tenant Policy-Reference'!O:O,0)),"NA")</f>
        <v>NA</v>
      </c>
    </row>
    <row r="117" spans="2:37" ht="13.8" x14ac:dyDescent="0.3">
      <c r="B117" s="241">
        <v>91</v>
      </c>
      <c r="C117" s="600" t="s">
        <v>143</v>
      </c>
      <c r="D117" s="601"/>
      <c r="E117" s="190" t="s">
        <v>139</v>
      </c>
      <c r="F117" s="191">
        <v>0</v>
      </c>
      <c r="G117" s="244" t="s">
        <v>85</v>
      </c>
      <c r="H117" s="248">
        <v>0</v>
      </c>
      <c r="I117" s="380">
        <f t="shared" si="25"/>
        <v>0</v>
      </c>
      <c r="J117" s="255" t="s">
        <v>139</v>
      </c>
      <c r="K117" s="517" t="s">
        <v>139</v>
      </c>
      <c r="L117" s="406" t="s">
        <v>139</v>
      </c>
      <c r="M117" s="411">
        <v>0</v>
      </c>
      <c r="N117" s="287" t="s">
        <v>139</v>
      </c>
      <c r="O117" s="308" t="str">
        <f>IF(OR(M117=0,N117="NA"),"NA",IFERROR(INDEX('Data - Reference'!$B$37:$B$50,MATCH('Unit Summary - Rent Roll'!$M117,INDEX('Data - Reference'!$B$37:$J$50,,MATCH('Unit Summary - Rent Roll'!$N117,'Data - Reference'!$B$37:$J$37,0)),-1),1),"NA"))</f>
        <v>NA</v>
      </c>
      <c r="P117" s="244" t="s">
        <v>85</v>
      </c>
      <c r="Q117" s="244" t="s">
        <v>85</v>
      </c>
      <c r="R117" s="193">
        <v>0</v>
      </c>
      <c r="S117" s="370">
        <f t="shared" si="26"/>
        <v>0</v>
      </c>
      <c r="T117" s="101">
        <f t="shared" si="27"/>
        <v>0</v>
      </c>
      <c r="U117" s="193">
        <v>0</v>
      </c>
      <c r="V117" s="370">
        <f t="shared" si="28"/>
        <v>0</v>
      </c>
      <c r="W117" s="101">
        <f t="shared" si="32"/>
        <v>0</v>
      </c>
      <c r="X117" s="72">
        <f>IFERROR(IF(INDEX(AC$14:AC$18,MATCH($E117,$AB$14:$AB$18,0))&lt;&gt;0,INDEX(AC$14:AC$18,MATCH($E117,$AB$14:$AB$18,0)),
IF($M117="Market",0,IF($L117="HUD FMR",INDEX('Data - Reference'!$B$31:$G$31,MATCH($E117,'Data - Reference'!$B$9:$G$9,0)),INDEX('Data - Reference'!$B$9:$G$31,MATCH($K117,'Data - Reference'!$B$9:$B$31,0),MATCH($E117,'Data - Reference'!$B$9:$G$9,0))))),0)</f>
        <v>0</v>
      </c>
      <c r="Y117" s="72">
        <f>IFERROR(IF(INDEX(AD$14:AD$18,MATCH($E117,$AB$14:$AB$18,0))&lt;&gt;0,INDEX(AD$14:AD$18,MATCH($E117,$AB$14:$AB$18,0)),
IF($K117="None - Market",0,-INDEX('Data - Reference'!$B$32:$G$32,MATCH($E117,'Data - Reference'!$B$9:$G$9,0)))),0)</f>
        <v>0</v>
      </c>
      <c r="Z117" s="76">
        <f t="shared" si="29"/>
        <v>0</v>
      </c>
      <c r="AA117" s="67">
        <f t="shared" si="30"/>
        <v>0</v>
      </c>
      <c r="AB117" s="101">
        <f t="shared" si="33"/>
        <v>0</v>
      </c>
      <c r="AC117" s="84">
        <f t="shared" si="34"/>
        <v>0</v>
      </c>
      <c r="AD117" s="86">
        <f t="shared" si="31"/>
        <v>0</v>
      </c>
      <c r="AE117" s="101">
        <f t="shared" si="35"/>
        <v>0</v>
      </c>
      <c r="AF117" s="424" t="str">
        <f t="shared" si="23"/>
        <v>NA</v>
      </c>
      <c r="AG117" s="429" t="str">
        <f t="shared" si="36"/>
        <v>NA</v>
      </c>
      <c r="AH117" s="429" t="str">
        <f t="shared" si="24"/>
        <v>NA</v>
      </c>
      <c r="AI117" s="426" t="str">
        <f t="shared" si="37"/>
        <v>NA</v>
      </c>
      <c r="AJ117" s="426" t="str">
        <f t="shared" si="38"/>
        <v>NA</v>
      </c>
      <c r="AK117" s="535" t="str">
        <f>IFERROR(INDEX('Current Tenant Policy-Reference'!Q:Q,MATCH('Unit Summary - Rent Roll'!AJ117,'Current Tenant Policy-Reference'!O:O,0)),"NA")</f>
        <v>NA</v>
      </c>
    </row>
    <row r="118" spans="2:37" ht="13.8" x14ac:dyDescent="0.3">
      <c r="B118" s="241">
        <v>92</v>
      </c>
      <c r="C118" s="600" t="s">
        <v>143</v>
      </c>
      <c r="D118" s="601"/>
      <c r="E118" s="190" t="s">
        <v>139</v>
      </c>
      <c r="F118" s="191">
        <v>0</v>
      </c>
      <c r="G118" s="244" t="s">
        <v>85</v>
      </c>
      <c r="H118" s="248">
        <v>0</v>
      </c>
      <c r="I118" s="380">
        <f t="shared" si="25"/>
        <v>0</v>
      </c>
      <c r="J118" s="255" t="s">
        <v>139</v>
      </c>
      <c r="K118" s="517" t="s">
        <v>139</v>
      </c>
      <c r="L118" s="406" t="s">
        <v>139</v>
      </c>
      <c r="M118" s="411">
        <v>0</v>
      </c>
      <c r="N118" s="287" t="s">
        <v>139</v>
      </c>
      <c r="O118" s="308" t="str">
        <f>IF(OR(M118=0,N118="NA"),"NA",IFERROR(INDEX('Data - Reference'!$B$37:$B$50,MATCH('Unit Summary - Rent Roll'!$M118,INDEX('Data - Reference'!$B$37:$J$50,,MATCH('Unit Summary - Rent Roll'!$N118,'Data - Reference'!$B$37:$J$37,0)),-1),1),"NA"))</f>
        <v>NA</v>
      </c>
      <c r="P118" s="244" t="s">
        <v>85</v>
      </c>
      <c r="Q118" s="244" t="s">
        <v>85</v>
      </c>
      <c r="R118" s="193">
        <v>0</v>
      </c>
      <c r="S118" s="370">
        <f t="shared" si="26"/>
        <v>0</v>
      </c>
      <c r="T118" s="101">
        <f t="shared" si="27"/>
        <v>0</v>
      </c>
      <c r="U118" s="193">
        <v>0</v>
      </c>
      <c r="V118" s="370">
        <f t="shared" si="28"/>
        <v>0</v>
      </c>
      <c r="W118" s="101">
        <f t="shared" si="32"/>
        <v>0</v>
      </c>
      <c r="X118" s="72">
        <f>IFERROR(IF(INDEX(AC$14:AC$18,MATCH($E118,$AB$14:$AB$18,0))&lt;&gt;0,INDEX(AC$14:AC$18,MATCH($E118,$AB$14:$AB$18,0)),
IF($M118="Market",0,IF($L118="HUD FMR",INDEX('Data - Reference'!$B$31:$G$31,MATCH($E118,'Data - Reference'!$B$9:$G$9,0)),INDEX('Data - Reference'!$B$9:$G$31,MATCH($K118,'Data - Reference'!$B$9:$B$31,0),MATCH($E118,'Data - Reference'!$B$9:$G$9,0))))),0)</f>
        <v>0</v>
      </c>
      <c r="Y118" s="72">
        <f>IFERROR(IF(INDEX(AD$14:AD$18,MATCH($E118,$AB$14:$AB$18,0))&lt;&gt;0,INDEX(AD$14:AD$18,MATCH($E118,$AB$14:$AB$18,0)),
IF($K118="None - Market",0,-INDEX('Data - Reference'!$B$32:$G$32,MATCH($E118,'Data - Reference'!$B$9:$G$9,0)))),0)</f>
        <v>0</v>
      </c>
      <c r="Z118" s="76">
        <f t="shared" si="29"/>
        <v>0</v>
      </c>
      <c r="AA118" s="67">
        <f t="shared" si="30"/>
        <v>0</v>
      </c>
      <c r="AB118" s="101">
        <f t="shared" si="33"/>
        <v>0</v>
      </c>
      <c r="AC118" s="84">
        <f t="shared" si="34"/>
        <v>0</v>
      </c>
      <c r="AD118" s="86">
        <f t="shared" si="31"/>
        <v>0</v>
      </c>
      <c r="AE118" s="101">
        <f t="shared" si="35"/>
        <v>0</v>
      </c>
      <c r="AF118" s="424" t="str">
        <f t="shared" si="23"/>
        <v>NA</v>
      </c>
      <c r="AG118" s="429" t="str">
        <f t="shared" si="36"/>
        <v>NA</v>
      </c>
      <c r="AH118" s="429" t="str">
        <f t="shared" si="24"/>
        <v>NA</v>
      </c>
      <c r="AI118" s="426" t="str">
        <f t="shared" si="37"/>
        <v>NA</v>
      </c>
      <c r="AJ118" s="426" t="str">
        <f t="shared" si="38"/>
        <v>NA</v>
      </c>
      <c r="AK118" s="535" t="str">
        <f>IFERROR(INDEX('Current Tenant Policy-Reference'!Q:Q,MATCH('Unit Summary - Rent Roll'!AJ118,'Current Tenant Policy-Reference'!O:O,0)),"NA")</f>
        <v>NA</v>
      </c>
    </row>
    <row r="119" spans="2:37" ht="13.8" x14ac:dyDescent="0.3">
      <c r="B119" s="241">
        <v>93</v>
      </c>
      <c r="C119" s="600" t="s">
        <v>143</v>
      </c>
      <c r="D119" s="601"/>
      <c r="E119" s="190" t="s">
        <v>139</v>
      </c>
      <c r="F119" s="191">
        <v>0</v>
      </c>
      <c r="G119" s="244" t="s">
        <v>85</v>
      </c>
      <c r="H119" s="248">
        <v>0</v>
      </c>
      <c r="I119" s="380">
        <f t="shared" si="25"/>
        <v>0</v>
      </c>
      <c r="J119" s="255" t="s">
        <v>139</v>
      </c>
      <c r="K119" s="517" t="s">
        <v>139</v>
      </c>
      <c r="L119" s="406" t="s">
        <v>139</v>
      </c>
      <c r="M119" s="411">
        <v>0</v>
      </c>
      <c r="N119" s="287" t="s">
        <v>139</v>
      </c>
      <c r="O119" s="308" t="str">
        <f>IF(OR(M119=0,N119="NA"),"NA",IFERROR(INDEX('Data - Reference'!$B$37:$B$50,MATCH('Unit Summary - Rent Roll'!$M119,INDEX('Data - Reference'!$B$37:$J$50,,MATCH('Unit Summary - Rent Roll'!$N119,'Data - Reference'!$B$37:$J$37,0)),-1),1),"NA"))</f>
        <v>NA</v>
      </c>
      <c r="P119" s="244" t="s">
        <v>85</v>
      </c>
      <c r="Q119" s="244" t="s">
        <v>85</v>
      </c>
      <c r="R119" s="193">
        <v>0</v>
      </c>
      <c r="S119" s="370">
        <f t="shared" si="26"/>
        <v>0</v>
      </c>
      <c r="T119" s="101">
        <f t="shared" si="27"/>
        <v>0</v>
      </c>
      <c r="U119" s="193">
        <v>0</v>
      </c>
      <c r="V119" s="370">
        <f t="shared" si="28"/>
        <v>0</v>
      </c>
      <c r="W119" s="101">
        <f t="shared" si="32"/>
        <v>0</v>
      </c>
      <c r="X119" s="72">
        <f>IFERROR(IF(INDEX(AC$14:AC$18,MATCH($E119,$AB$14:$AB$18,0))&lt;&gt;0,INDEX(AC$14:AC$18,MATCH($E119,$AB$14:$AB$18,0)),
IF($M119="Market",0,IF($L119="HUD FMR",INDEX('Data - Reference'!$B$31:$G$31,MATCH($E119,'Data - Reference'!$B$9:$G$9,0)),INDEX('Data - Reference'!$B$9:$G$31,MATCH($K119,'Data - Reference'!$B$9:$B$31,0),MATCH($E119,'Data - Reference'!$B$9:$G$9,0))))),0)</f>
        <v>0</v>
      </c>
      <c r="Y119" s="72">
        <f>IFERROR(IF(INDEX(AD$14:AD$18,MATCH($E119,$AB$14:$AB$18,0))&lt;&gt;0,INDEX(AD$14:AD$18,MATCH($E119,$AB$14:$AB$18,0)),
IF($K119="None - Market",0,-INDEX('Data - Reference'!$B$32:$G$32,MATCH($E119,'Data - Reference'!$B$9:$G$9,0)))),0)</f>
        <v>0</v>
      </c>
      <c r="Z119" s="76">
        <f t="shared" si="29"/>
        <v>0</v>
      </c>
      <c r="AA119" s="67">
        <f t="shared" si="30"/>
        <v>0</v>
      </c>
      <c r="AB119" s="101">
        <f t="shared" si="33"/>
        <v>0</v>
      </c>
      <c r="AC119" s="84">
        <f t="shared" si="34"/>
        <v>0</v>
      </c>
      <c r="AD119" s="86">
        <f t="shared" si="31"/>
        <v>0</v>
      </c>
      <c r="AE119" s="101">
        <f t="shared" si="35"/>
        <v>0</v>
      </c>
      <c r="AF119" s="424" t="str">
        <f t="shared" si="23"/>
        <v>NA</v>
      </c>
      <c r="AG119" s="429" t="str">
        <f t="shared" si="36"/>
        <v>NA</v>
      </c>
      <c r="AH119" s="429" t="str">
        <f t="shared" si="24"/>
        <v>NA</v>
      </c>
      <c r="AI119" s="426" t="str">
        <f t="shared" si="37"/>
        <v>NA</v>
      </c>
      <c r="AJ119" s="426" t="str">
        <f t="shared" si="38"/>
        <v>NA</v>
      </c>
      <c r="AK119" s="535" t="str">
        <f>IFERROR(INDEX('Current Tenant Policy-Reference'!Q:Q,MATCH('Unit Summary - Rent Roll'!AJ119,'Current Tenant Policy-Reference'!O:O,0)),"NA")</f>
        <v>NA</v>
      </c>
    </row>
    <row r="120" spans="2:37" ht="13.8" x14ac:dyDescent="0.3">
      <c r="B120" s="241">
        <v>94</v>
      </c>
      <c r="C120" s="600" t="s">
        <v>143</v>
      </c>
      <c r="D120" s="601"/>
      <c r="E120" s="190" t="s">
        <v>139</v>
      </c>
      <c r="F120" s="191">
        <v>0</v>
      </c>
      <c r="G120" s="244" t="s">
        <v>85</v>
      </c>
      <c r="H120" s="248">
        <v>0</v>
      </c>
      <c r="I120" s="380">
        <f t="shared" si="25"/>
        <v>0</v>
      </c>
      <c r="J120" s="255" t="s">
        <v>139</v>
      </c>
      <c r="K120" s="517" t="s">
        <v>139</v>
      </c>
      <c r="L120" s="406" t="s">
        <v>139</v>
      </c>
      <c r="M120" s="411">
        <v>0</v>
      </c>
      <c r="N120" s="287" t="s">
        <v>139</v>
      </c>
      <c r="O120" s="308" t="str">
        <f>IF(OR(M120=0,N120="NA"),"NA",IFERROR(INDEX('Data - Reference'!$B$37:$B$50,MATCH('Unit Summary - Rent Roll'!$M120,INDEX('Data - Reference'!$B$37:$J$50,,MATCH('Unit Summary - Rent Roll'!$N120,'Data - Reference'!$B$37:$J$37,0)),-1),1),"NA"))</f>
        <v>NA</v>
      </c>
      <c r="P120" s="244" t="s">
        <v>85</v>
      </c>
      <c r="Q120" s="244" t="s">
        <v>85</v>
      </c>
      <c r="R120" s="193">
        <v>0</v>
      </c>
      <c r="S120" s="370">
        <f t="shared" si="26"/>
        <v>0</v>
      </c>
      <c r="T120" s="101">
        <f t="shared" si="27"/>
        <v>0</v>
      </c>
      <c r="U120" s="193">
        <v>0</v>
      </c>
      <c r="V120" s="370">
        <f t="shared" si="28"/>
        <v>0</v>
      </c>
      <c r="W120" s="101">
        <f t="shared" si="32"/>
        <v>0</v>
      </c>
      <c r="X120" s="72">
        <f>IFERROR(IF(INDEX(AC$14:AC$18,MATCH($E120,$AB$14:$AB$18,0))&lt;&gt;0,INDEX(AC$14:AC$18,MATCH($E120,$AB$14:$AB$18,0)),
IF($M120="Market",0,IF($L120="HUD FMR",INDEX('Data - Reference'!$B$31:$G$31,MATCH($E120,'Data - Reference'!$B$9:$G$9,0)),INDEX('Data - Reference'!$B$9:$G$31,MATCH($K120,'Data - Reference'!$B$9:$B$31,0),MATCH($E120,'Data - Reference'!$B$9:$G$9,0))))),0)</f>
        <v>0</v>
      </c>
      <c r="Y120" s="72">
        <f>IFERROR(IF(INDEX(AD$14:AD$18,MATCH($E120,$AB$14:$AB$18,0))&lt;&gt;0,INDEX(AD$14:AD$18,MATCH($E120,$AB$14:$AB$18,0)),
IF($K120="None - Market",0,-INDEX('Data - Reference'!$B$32:$G$32,MATCH($E120,'Data - Reference'!$B$9:$G$9,0)))),0)</f>
        <v>0</v>
      </c>
      <c r="Z120" s="76">
        <f t="shared" si="29"/>
        <v>0</v>
      </c>
      <c r="AA120" s="67">
        <f t="shared" si="30"/>
        <v>0</v>
      </c>
      <c r="AB120" s="101">
        <f t="shared" si="33"/>
        <v>0</v>
      </c>
      <c r="AC120" s="84">
        <f t="shared" si="34"/>
        <v>0</v>
      </c>
      <c r="AD120" s="86">
        <f t="shared" si="31"/>
        <v>0</v>
      </c>
      <c r="AE120" s="101">
        <f t="shared" si="35"/>
        <v>0</v>
      </c>
      <c r="AF120" s="424" t="str">
        <f t="shared" si="23"/>
        <v>NA</v>
      </c>
      <c r="AG120" s="429" t="str">
        <f t="shared" si="36"/>
        <v>NA</v>
      </c>
      <c r="AH120" s="429" t="str">
        <f t="shared" si="24"/>
        <v>NA</v>
      </c>
      <c r="AI120" s="426" t="str">
        <f t="shared" si="37"/>
        <v>NA</v>
      </c>
      <c r="AJ120" s="426" t="str">
        <f t="shared" si="38"/>
        <v>NA</v>
      </c>
      <c r="AK120" s="535" t="str">
        <f>IFERROR(INDEX('Current Tenant Policy-Reference'!Q:Q,MATCH('Unit Summary - Rent Roll'!AJ120,'Current Tenant Policy-Reference'!O:O,0)),"NA")</f>
        <v>NA</v>
      </c>
    </row>
    <row r="121" spans="2:37" ht="13.8" x14ac:dyDescent="0.3">
      <c r="B121" s="241">
        <v>95</v>
      </c>
      <c r="C121" s="600" t="s">
        <v>143</v>
      </c>
      <c r="D121" s="601"/>
      <c r="E121" s="190" t="s">
        <v>139</v>
      </c>
      <c r="F121" s="191">
        <v>0</v>
      </c>
      <c r="G121" s="244" t="s">
        <v>85</v>
      </c>
      <c r="H121" s="248">
        <v>0</v>
      </c>
      <c r="I121" s="380">
        <f t="shared" si="25"/>
        <v>0</v>
      </c>
      <c r="J121" s="255" t="s">
        <v>139</v>
      </c>
      <c r="K121" s="517" t="s">
        <v>139</v>
      </c>
      <c r="L121" s="406" t="s">
        <v>139</v>
      </c>
      <c r="M121" s="411">
        <v>0</v>
      </c>
      <c r="N121" s="287" t="s">
        <v>139</v>
      </c>
      <c r="O121" s="308" t="str">
        <f>IF(OR(M121=0,N121="NA"),"NA",IFERROR(INDEX('Data - Reference'!$B$37:$B$50,MATCH('Unit Summary - Rent Roll'!$M121,INDEX('Data - Reference'!$B$37:$J$50,,MATCH('Unit Summary - Rent Roll'!$N121,'Data - Reference'!$B$37:$J$37,0)),-1),1),"NA"))</f>
        <v>NA</v>
      </c>
      <c r="P121" s="244" t="s">
        <v>85</v>
      </c>
      <c r="Q121" s="244" t="s">
        <v>85</v>
      </c>
      <c r="R121" s="193">
        <v>0</v>
      </c>
      <c r="S121" s="370">
        <f t="shared" si="26"/>
        <v>0</v>
      </c>
      <c r="T121" s="101">
        <f t="shared" si="27"/>
        <v>0</v>
      </c>
      <c r="U121" s="193">
        <v>0</v>
      </c>
      <c r="V121" s="370">
        <f t="shared" si="28"/>
        <v>0</v>
      </c>
      <c r="W121" s="101">
        <f t="shared" si="32"/>
        <v>0</v>
      </c>
      <c r="X121" s="72">
        <f>IFERROR(IF(INDEX(AC$14:AC$18,MATCH($E121,$AB$14:$AB$18,0))&lt;&gt;0,INDEX(AC$14:AC$18,MATCH($E121,$AB$14:$AB$18,0)),
IF($M121="Market",0,IF($L121="HUD FMR",INDEX('Data - Reference'!$B$31:$G$31,MATCH($E121,'Data - Reference'!$B$9:$G$9,0)),INDEX('Data - Reference'!$B$9:$G$31,MATCH($K121,'Data - Reference'!$B$9:$B$31,0),MATCH($E121,'Data - Reference'!$B$9:$G$9,0))))),0)</f>
        <v>0</v>
      </c>
      <c r="Y121" s="72">
        <f>IFERROR(IF(INDEX(AD$14:AD$18,MATCH($E121,$AB$14:$AB$18,0))&lt;&gt;0,INDEX(AD$14:AD$18,MATCH($E121,$AB$14:$AB$18,0)),
IF($K121="None - Market",0,-INDEX('Data - Reference'!$B$32:$G$32,MATCH($E121,'Data - Reference'!$B$9:$G$9,0)))),0)</f>
        <v>0</v>
      </c>
      <c r="Z121" s="76">
        <f t="shared" si="29"/>
        <v>0</v>
      </c>
      <c r="AA121" s="67">
        <f t="shared" si="30"/>
        <v>0</v>
      </c>
      <c r="AB121" s="101">
        <f t="shared" si="33"/>
        <v>0</v>
      </c>
      <c r="AC121" s="84">
        <f t="shared" si="34"/>
        <v>0</v>
      </c>
      <c r="AD121" s="86">
        <f t="shared" si="31"/>
        <v>0</v>
      </c>
      <c r="AE121" s="101">
        <f t="shared" si="35"/>
        <v>0</v>
      </c>
      <c r="AF121" s="424" t="str">
        <f t="shared" si="23"/>
        <v>NA</v>
      </c>
      <c r="AG121" s="429" t="str">
        <f t="shared" si="36"/>
        <v>NA</v>
      </c>
      <c r="AH121" s="429" t="str">
        <f t="shared" si="24"/>
        <v>NA</v>
      </c>
      <c r="AI121" s="426" t="str">
        <f t="shared" si="37"/>
        <v>NA</v>
      </c>
      <c r="AJ121" s="426" t="str">
        <f t="shared" si="38"/>
        <v>NA</v>
      </c>
      <c r="AK121" s="535" t="str">
        <f>IFERROR(INDEX('Current Tenant Policy-Reference'!Q:Q,MATCH('Unit Summary - Rent Roll'!AJ121,'Current Tenant Policy-Reference'!O:O,0)),"NA")</f>
        <v>NA</v>
      </c>
    </row>
    <row r="122" spans="2:37" ht="13.8" x14ac:dyDescent="0.3">
      <c r="B122" s="241">
        <v>96</v>
      </c>
      <c r="C122" s="600" t="s">
        <v>143</v>
      </c>
      <c r="D122" s="601"/>
      <c r="E122" s="190" t="s">
        <v>139</v>
      </c>
      <c r="F122" s="191">
        <v>0</v>
      </c>
      <c r="G122" s="244" t="s">
        <v>85</v>
      </c>
      <c r="H122" s="248">
        <v>0</v>
      </c>
      <c r="I122" s="380">
        <f t="shared" si="25"/>
        <v>0</v>
      </c>
      <c r="J122" s="255" t="s">
        <v>139</v>
      </c>
      <c r="K122" s="517" t="s">
        <v>139</v>
      </c>
      <c r="L122" s="406" t="s">
        <v>139</v>
      </c>
      <c r="M122" s="411">
        <v>0</v>
      </c>
      <c r="N122" s="287" t="s">
        <v>139</v>
      </c>
      <c r="O122" s="308" t="str">
        <f>IF(OR(M122=0,N122="NA"),"NA",IFERROR(INDEX('Data - Reference'!$B$37:$B$50,MATCH('Unit Summary - Rent Roll'!$M122,INDEX('Data - Reference'!$B$37:$J$50,,MATCH('Unit Summary - Rent Roll'!$N122,'Data - Reference'!$B$37:$J$37,0)),-1),1),"NA"))</f>
        <v>NA</v>
      </c>
      <c r="P122" s="244" t="s">
        <v>85</v>
      </c>
      <c r="Q122" s="244" t="s">
        <v>85</v>
      </c>
      <c r="R122" s="193">
        <v>0</v>
      </c>
      <c r="S122" s="370">
        <f t="shared" si="26"/>
        <v>0</v>
      </c>
      <c r="T122" s="101">
        <f t="shared" si="27"/>
        <v>0</v>
      </c>
      <c r="U122" s="193">
        <v>0</v>
      </c>
      <c r="V122" s="370">
        <f t="shared" si="28"/>
        <v>0</v>
      </c>
      <c r="W122" s="101">
        <f t="shared" si="32"/>
        <v>0</v>
      </c>
      <c r="X122" s="72">
        <f>IFERROR(IF(INDEX(AC$14:AC$18,MATCH($E122,$AB$14:$AB$18,0))&lt;&gt;0,INDEX(AC$14:AC$18,MATCH($E122,$AB$14:$AB$18,0)),
IF($M122="Market",0,IF($L122="HUD FMR",INDEX('Data - Reference'!$B$31:$G$31,MATCH($E122,'Data - Reference'!$B$9:$G$9,0)),INDEX('Data - Reference'!$B$9:$G$31,MATCH($K122,'Data - Reference'!$B$9:$B$31,0),MATCH($E122,'Data - Reference'!$B$9:$G$9,0))))),0)</f>
        <v>0</v>
      </c>
      <c r="Y122" s="72">
        <f>IFERROR(IF(INDEX(AD$14:AD$18,MATCH($E122,$AB$14:$AB$18,0))&lt;&gt;0,INDEX(AD$14:AD$18,MATCH($E122,$AB$14:$AB$18,0)),
IF($K122="None - Market",0,-INDEX('Data - Reference'!$B$32:$G$32,MATCH($E122,'Data - Reference'!$B$9:$G$9,0)))),0)</f>
        <v>0</v>
      </c>
      <c r="Z122" s="76">
        <f t="shared" si="29"/>
        <v>0</v>
      </c>
      <c r="AA122" s="67">
        <f t="shared" si="30"/>
        <v>0</v>
      </c>
      <c r="AB122" s="101">
        <f t="shared" si="33"/>
        <v>0</v>
      </c>
      <c r="AC122" s="84">
        <f t="shared" si="34"/>
        <v>0</v>
      </c>
      <c r="AD122" s="86">
        <f t="shared" si="31"/>
        <v>0</v>
      </c>
      <c r="AE122" s="101">
        <f t="shared" si="35"/>
        <v>0</v>
      </c>
      <c r="AF122" s="424" t="str">
        <f t="shared" si="23"/>
        <v>NA</v>
      </c>
      <c r="AG122" s="429" t="str">
        <f t="shared" si="36"/>
        <v>NA</v>
      </c>
      <c r="AH122" s="429" t="str">
        <f t="shared" si="24"/>
        <v>NA</v>
      </c>
      <c r="AI122" s="426" t="str">
        <f t="shared" si="37"/>
        <v>NA</v>
      </c>
      <c r="AJ122" s="426" t="str">
        <f t="shared" si="38"/>
        <v>NA</v>
      </c>
      <c r="AK122" s="535" t="str">
        <f>IFERROR(INDEX('Current Tenant Policy-Reference'!Q:Q,MATCH('Unit Summary - Rent Roll'!AJ122,'Current Tenant Policy-Reference'!O:O,0)),"NA")</f>
        <v>NA</v>
      </c>
    </row>
    <row r="123" spans="2:37" ht="13.8" x14ac:dyDescent="0.3">
      <c r="B123" s="241">
        <v>97</v>
      </c>
      <c r="C123" s="600" t="s">
        <v>143</v>
      </c>
      <c r="D123" s="601"/>
      <c r="E123" s="190" t="s">
        <v>139</v>
      </c>
      <c r="F123" s="191">
        <v>0</v>
      </c>
      <c r="G123" s="244" t="s">
        <v>85</v>
      </c>
      <c r="H123" s="248">
        <v>0</v>
      </c>
      <c r="I123" s="380">
        <f>F123*H123</f>
        <v>0</v>
      </c>
      <c r="J123" s="255" t="s">
        <v>139</v>
      </c>
      <c r="K123" s="517" t="s">
        <v>139</v>
      </c>
      <c r="L123" s="406" t="s">
        <v>139</v>
      </c>
      <c r="M123" s="411">
        <v>0</v>
      </c>
      <c r="N123" s="287" t="s">
        <v>139</v>
      </c>
      <c r="O123" s="308" t="str">
        <f>IF(OR(M123=0,N123="NA"),"NA",IFERROR(INDEX('Data - Reference'!$B$37:$B$50,MATCH('Unit Summary - Rent Roll'!$M123,INDEX('Data - Reference'!$B$37:$J$50,,MATCH('Unit Summary - Rent Roll'!$N123,'Data - Reference'!$B$37:$J$37,0)),-1),1),"NA"))</f>
        <v>NA</v>
      </c>
      <c r="P123" s="244" t="s">
        <v>85</v>
      </c>
      <c r="Q123" s="244" t="s">
        <v>85</v>
      </c>
      <c r="R123" s="193">
        <v>0</v>
      </c>
      <c r="S123" s="370">
        <f>IFERROR(R123/$F123,0)</f>
        <v>0</v>
      </c>
      <c r="T123" s="101">
        <f t="shared" si="27"/>
        <v>0</v>
      </c>
      <c r="U123" s="193">
        <v>0</v>
      </c>
      <c r="V123" s="370">
        <f>IFERROR(U123/$F123,0)</f>
        <v>0</v>
      </c>
      <c r="W123" s="101">
        <f t="shared" si="32"/>
        <v>0</v>
      </c>
      <c r="X123" s="72">
        <f>IFERROR(IF(INDEX(AC$14:AC$18,MATCH($E123,$AB$14:$AB$18,0))&lt;&gt;0,INDEX(AC$14:AC$18,MATCH($E123,$AB$14:$AB$18,0)),
IF($M123="Market",0,IF($L123="HUD FMR",INDEX('Data - Reference'!$B$31:$G$31,MATCH($E123,'Data - Reference'!$B$9:$G$9,0)),INDEX('Data - Reference'!$B$9:$G$31,MATCH($K123,'Data - Reference'!$B$9:$B$31,0),MATCH($E123,'Data - Reference'!$B$9:$G$9,0))))),0)</f>
        <v>0</v>
      </c>
      <c r="Y123" s="72">
        <f>IFERROR(IF(INDEX(AD$14:AD$18,MATCH($E123,$AB$14:$AB$18,0))&lt;&gt;0,INDEX(AD$14:AD$18,MATCH($E123,$AB$14:$AB$18,0)),
IF($K123="None - Market",0,-INDEX('Data - Reference'!$B$32:$G$32,MATCH($E123,'Data - Reference'!$B$9:$G$9,0)))),0)</f>
        <v>0</v>
      </c>
      <c r="Z123" s="76">
        <f>SUM(X123:Y123)</f>
        <v>0</v>
      </c>
      <c r="AA123" s="67">
        <f>IFERROR(Z123/$F123,0)</f>
        <v>0</v>
      </c>
      <c r="AB123" s="101">
        <f t="shared" si="33"/>
        <v>0</v>
      </c>
      <c r="AC123" s="84">
        <f t="shared" si="34"/>
        <v>0</v>
      </c>
      <c r="AD123" s="86">
        <f>IFERROR(AC123/$F123,0)</f>
        <v>0</v>
      </c>
      <c r="AE123" s="101">
        <f t="shared" si="35"/>
        <v>0</v>
      </c>
      <c r="AF123" s="424" t="str">
        <f t="shared" si="23"/>
        <v>NA</v>
      </c>
      <c r="AG123" s="429" t="str">
        <f t="shared" si="36"/>
        <v>NA</v>
      </c>
      <c r="AH123" s="429" t="str">
        <f t="shared" si="24"/>
        <v>NA</v>
      </c>
      <c r="AI123" s="426" t="str">
        <f t="shared" si="37"/>
        <v>NA</v>
      </c>
      <c r="AJ123" s="426" t="str">
        <f t="shared" si="38"/>
        <v>NA</v>
      </c>
      <c r="AK123" s="535" t="str">
        <f>IFERROR(INDEX('Current Tenant Policy-Reference'!Q:Q,MATCH('Unit Summary - Rent Roll'!AJ123,'Current Tenant Policy-Reference'!O:O,0)),"NA")</f>
        <v>NA</v>
      </c>
    </row>
    <row r="124" spans="2:37" ht="13.8" x14ac:dyDescent="0.3">
      <c r="B124" s="241">
        <v>98</v>
      </c>
      <c r="C124" s="600" t="s">
        <v>143</v>
      </c>
      <c r="D124" s="601"/>
      <c r="E124" s="190" t="s">
        <v>139</v>
      </c>
      <c r="F124" s="191">
        <v>0</v>
      </c>
      <c r="G124" s="244" t="s">
        <v>85</v>
      </c>
      <c r="H124" s="248">
        <v>0</v>
      </c>
      <c r="I124" s="380">
        <f>F124*H124</f>
        <v>0</v>
      </c>
      <c r="J124" s="255" t="s">
        <v>139</v>
      </c>
      <c r="K124" s="517" t="s">
        <v>139</v>
      </c>
      <c r="L124" s="406" t="s">
        <v>139</v>
      </c>
      <c r="M124" s="411">
        <v>0</v>
      </c>
      <c r="N124" s="287" t="s">
        <v>139</v>
      </c>
      <c r="O124" s="308" t="str">
        <f>IF(OR(M124=0,N124="NA"),"NA",IFERROR(INDEX('Data - Reference'!$B$37:$B$50,MATCH('Unit Summary - Rent Roll'!$M124,INDEX('Data - Reference'!$B$37:$J$50,,MATCH('Unit Summary - Rent Roll'!$N124,'Data - Reference'!$B$37:$J$37,0)),-1),1),"NA"))</f>
        <v>NA</v>
      </c>
      <c r="P124" s="244" t="s">
        <v>85</v>
      </c>
      <c r="Q124" s="244" t="s">
        <v>85</v>
      </c>
      <c r="R124" s="193">
        <v>0</v>
      </c>
      <c r="S124" s="370">
        <f>IFERROR(R124/$F124,0)</f>
        <v>0</v>
      </c>
      <c r="T124" s="101">
        <f t="shared" si="27"/>
        <v>0</v>
      </c>
      <c r="U124" s="193">
        <v>0</v>
      </c>
      <c r="V124" s="370">
        <f>IFERROR(U124/$F124,0)</f>
        <v>0</v>
      </c>
      <c r="W124" s="101">
        <f t="shared" si="32"/>
        <v>0</v>
      </c>
      <c r="X124" s="72">
        <f>IFERROR(IF(INDEX(AC$14:AC$18,MATCH($E124,$AB$14:$AB$18,0))&lt;&gt;0,INDEX(AC$14:AC$18,MATCH($E124,$AB$14:$AB$18,0)),
IF($M124="Market",0,IF($L124="HUD FMR",INDEX('Data - Reference'!$B$31:$G$31,MATCH($E124,'Data - Reference'!$B$9:$G$9,0)),INDEX('Data - Reference'!$B$9:$G$31,MATCH($K124,'Data - Reference'!$B$9:$B$31,0),MATCH($E124,'Data - Reference'!$B$9:$G$9,0))))),0)</f>
        <v>0</v>
      </c>
      <c r="Y124" s="72">
        <f>IFERROR(IF(INDEX(AD$14:AD$18,MATCH($E124,$AB$14:$AB$18,0))&lt;&gt;0,INDEX(AD$14:AD$18,MATCH($E124,$AB$14:$AB$18,0)),
IF($K124="None - Market",0,-INDEX('Data - Reference'!$B$32:$G$32,MATCH($E124,'Data - Reference'!$B$9:$G$9,0)))),0)</f>
        <v>0</v>
      </c>
      <c r="Z124" s="76">
        <f>SUM(X124:Y124)</f>
        <v>0</v>
      </c>
      <c r="AA124" s="67">
        <f>IFERROR(Z124/$F124,0)</f>
        <v>0</v>
      </c>
      <c r="AB124" s="101">
        <f t="shared" si="33"/>
        <v>0</v>
      </c>
      <c r="AC124" s="84">
        <f t="shared" si="34"/>
        <v>0</v>
      </c>
      <c r="AD124" s="86">
        <f>IFERROR(AC124/$F124,0)</f>
        <v>0</v>
      </c>
      <c r="AE124" s="101">
        <f t="shared" si="35"/>
        <v>0</v>
      </c>
      <c r="AF124" s="424" t="str">
        <f t="shared" si="23"/>
        <v>NA</v>
      </c>
      <c r="AG124" s="429" t="str">
        <f t="shared" si="36"/>
        <v>NA</v>
      </c>
      <c r="AH124" s="429" t="str">
        <f t="shared" si="24"/>
        <v>NA</v>
      </c>
      <c r="AI124" s="426" t="str">
        <f t="shared" si="37"/>
        <v>NA</v>
      </c>
      <c r="AJ124" s="426" t="str">
        <f t="shared" si="38"/>
        <v>NA</v>
      </c>
      <c r="AK124" s="535" t="str">
        <f>IFERROR(INDEX('Current Tenant Policy-Reference'!Q:Q,MATCH('Unit Summary - Rent Roll'!AJ124,'Current Tenant Policy-Reference'!O:O,0)),"NA")</f>
        <v>NA</v>
      </c>
    </row>
    <row r="125" spans="2:37" ht="13.8" x14ac:dyDescent="0.3">
      <c r="B125" s="241">
        <v>99</v>
      </c>
      <c r="C125" s="600" t="s">
        <v>143</v>
      </c>
      <c r="D125" s="601"/>
      <c r="E125" s="190" t="s">
        <v>139</v>
      </c>
      <c r="F125" s="191">
        <v>0</v>
      </c>
      <c r="G125" s="244" t="s">
        <v>85</v>
      </c>
      <c r="H125" s="248">
        <v>0</v>
      </c>
      <c r="I125" s="380">
        <f>F125*H125</f>
        <v>0</v>
      </c>
      <c r="J125" s="255" t="s">
        <v>139</v>
      </c>
      <c r="K125" s="517" t="s">
        <v>139</v>
      </c>
      <c r="L125" s="406" t="s">
        <v>139</v>
      </c>
      <c r="M125" s="411">
        <v>0</v>
      </c>
      <c r="N125" s="287" t="s">
        <v>139</v>
      </c>
      <c r="O125" s="308" t="str">
        <f>IF(OR(M125=0,N125="NA"),"NA",IFERROR(INDEX('Data - Reference'!$B$37:$B$50,MATCH('Unit Summary - Rent Roll'!$M125,INDEX('Data - Reference'!$B$37:$J$50,,MATCH('Unit Summary - Rent Roll'!$N125,'Data - Reference'!$B$37:$J$37,0)),-1),1),"NA"))</f>
        <v>NA</v>
      </c>
      <c r="P125" s="244" t="s">
        <v>85</v>
      </c>
      <c r="Q125" s="244" t="s">
        <v>85</v>
      </c>
      <c r="R125" s="193">
        <v>0</v>
      </c>
      <c r="S125" s="370">
        <f>IFERROR(R125/$F125,0)</f>
        <v>0</v>
      </c>
      <c r="T125" s="101">
        <f t="shared" si="27"/>
        <v>0</v>
      </c>
      <c r="U125" s="193">
        <v>0</v>
      </c>
      <c r="V125" s="370">
        <f>IFERROR(U125/$F125,0)</f>
        <v>0</v>
      </c>
      <c r="W125" s="101">
        <f t="shared" si="32"/>
        <v>0</v>
      </c>
      <c r="X125" s="72">
        <f>IFERROR(IF(INDEX(AC$14:AC$18,MATCH($E125,$AB$14:$AB$18,0))&lt;&gt;0,INDEX(AC$14:AC$18,MATCH($E125,$AB$14:$AB$18,0)),
IF($M125="Market",0,IF($L125="HUD FMR",INDEX('Data - Reference'!$B$31:$G$31,MATCH($E125,'Data - Reference'!$B$9:$G$9,0)),INDEX('Data - Reference'!$B$9:$G$31,MATCH($K125,'Data - Reference'!$B$9:$B$31,0),MATCH($E125,'Data - Reference'!$B$9:$G$9,0))))),0)</f>
        <v>0</v>
      </c>
      <c r="Y125" s="72">
        <f>IFERROR(IF(INDEX(AD$14:AD$18,MATCH($E125,$AB$14:$AB$18,0))&lt;&gt;0,INDEX(AD$14:AD$18,MATCH($E125,$AB$14:$AB$18,0)),
IF($K125="None - Market",0,-INDEX('Data - Reference'!$B$32:$G$32,MATCH($E125,'Data - Reference'!$B$9:$G$9,0)))),0)</f>
        <v>0</v>
      </c>
      <c r="Z125" s="76">
        <f>SUM(X125:Y125)</f>
        <v>0</v>
      </c>
      <c r="AA125" s="67">
        <f>IFERROR(Z125/$F125,0)</f>
        <v>0</v>
      </c>
      <c r="AB125" s="101">
        <f t="shared" si="33"/>
        <v>0</v>
      </c>
      <c r="AC125" s="84">
        <f t="shared" si="34"/>
        <v>0</v>
      </c>
      <c r="AD125" s="86">
        <f>IFERROR(AC125/$F125,0)</f>
        <v>0</v>
      </c>
      <c r="AE125" s="101">
        <f t="shared" si="35"/>
        <v>0</v>
      </c>
      <c r="AF125" s="424" t="str">
        <f t="shared" si="23"/>
        <v>NA</v>
      </c>
      <c r="AG125" s="429" t="str">
        <f t="shared" si="36"/>
        <v>NA</v>
      </c>
      <c r="AH125" s="429" t="str">
        <f t="shared" si="24"/>
        <v>NA</v>
      </c>
      <c r="AI125" s="426" t="str">
        <f t="shared" si="37"/>
        <v>NA</v>
      </c>
      <c r="AJ125" s="426" t="str">
        <f t="shared" si="38"/>
        <v>NA</v>
      </c>
      <c r="AK125" s="535" t="str">
        <f>IFERROR(INDEX('Current Tenant Policy-Reference'!Q:Q,MATCH('Unit Summary - Rent Roll'!AJ125,'Current Tenant Policy-Reference'!O:O,0)),"NA")</f>
        <v>NA</v>
      </c>
    </row>
    <row r="126" spans="2:37" ht="13.8" x14ac:dyDescent="0.3">
      <c r="B126" s="241">
        <v>100</v>
      </c>
      <c r="C126" s="600" t="s">
        <v>143</v>
      </c>
      <c r="D126" s="601"/>
      <c r="E126" s="192" t="s">
        <v>139</v>
      </c>
      <c r="F126" s="191">
        <v>0</v>
      </c>
      <c r="G126" s="244" t="s">
        <v>85</v>
      </c>
      <c r="H126" s="248">
        <v>0</v>
      </c>
      <c r="I126" s="380">
        <f>F126*H126</f>
        <v>0</v>
      </c>
      <c r="J126" s="255" t="s">
        <v>139</v>
      </c>
      <c r="K126" s="517" t="s">
        <v>139</v>
      </c>
      <c r="L126" s="407" t="s">
        <v>139</v>
      </c>
      <c r="M126" s="412">
        <v>0</v>
      </c>
      <c r="N126" s="288" t="s">
        <v>139</v>
      </c>
      <c r="O126" s="308" t="str">
        <f>IF(OR(M126=0,N126="NA"),"NA",IFERROR(INDEX('Data - Reference'!$B$37:$B$50,MATCH('Unit Summary - Rent Roll'!$M126,INDEX('Data - Reference'!$B$37:$J$50,,MATCH('Unit Summary - Rent Roll'!$N126,'Data - Reference'!$B$37:$J$37,0)),-1),1),"NA"))</f>
        <v>NA</v>
      </c>
      <c r="P126" s="244" t="s">
        <v>85</v>
      </c>
      <c r="Q126" s="244" t="s">
        <v>85</v>
      </c>
      <c r="R126" s="193">
        <v>0</v>
      </c>
      <c r="S126" s="371">
        <f>IFERROR(R126/$F126,0)</f>
        <v>0</v>
      </c>
      <c r="T126" s="101">
        <f t="shared" si="27"/>
        <v>0</v>
      </c>
      <c r="U126" s="193">
        <v>0</v>
      </c>
      <c r="V126" s="371">
        <f>IFERROR(U126/$F126,0)</f>
        <v>0</v>
      </c>
      <c r="W126" s="101">
        <f t="shared" si="32"/>
        <v>0</v>
      </c>
      <c r="X126" s="73">
        <f>IFERROR(IF(INDEX(AC$14:AC$18,MATCH($E126,$AB$14:$AB$18,0))&lt;&gt;0,INDEX(AC$14:AC$18,MATCH($E126,$AB$14:$AB$18,0)),
IF($M126="Market",0,IF($L126="HUD FMR",INDEX('Data - Reference'!$B$31:$G$31,MATCH($E126,'Data - Reference'!$B$9:$G$9,0)),INDEX('Data - Reference'!$B$9:$G$31,MATCH($K126,'Data - Reference'!$B$9:$B$31,0),MATCH($E126,'Data - Reference'!$B$9:$G$9,0))))),0)</f>
        <v>0</v>
      </c>
      <c r="Y126" s="73">
        <f>IFERROR(IF(INDEX(AD$14:AD$18,MATCH($E126,$AB$14:$AB$18,0))&lt;&gt;0,INDEX(AD$14:AD$18,MATCH($E126,$AB$14:$AB$18,0)),
IF($K126="None - Market",0,-INDEX('Data - Reference'!$B$32:$G$32,MATCH($E126,'Data - Reference'!$B$9:$G$9,0)))),0)</f>
        <v>0</v>
      </c>
      <c r="Z126" s="76">
        <f>SUM(X126:Y126)</f>
        <v>0</v>
      </c>
      <c r="AA126" s="68">
        <f>IFERROR(Z126/$F126,0)</f>
        <v>0</v>
      </c>
      <c r="AB126" s="101">
        <f t="shared" si="33"/>
        <v>0</v>
      </c>
      <c r="AC126" s="85">
        <f t="shared" si="34"/>
        <v>0</v>
      </c>
      <c r="AD126" s="87">
        <f>IFERROR(AC126/$F126,0)</f>
        <v>0</v>
      </c>
      <c r="AE126" s="101">
        <f t="shared" si="35"/>
        <v>0</v>
      </c>
      <c r="AF126" s="424" t="str">
        <f t="shared" si="23"/>
        <v>NA</v>
      </c>
      <c r="AG126" s="539" t="str">
        <f t="shared" si="36"/>
        <v>NA</v>
      </c>
      <c r="AH126" s="429" t="str">
        <f t="shared" si="24"/>
        <v>NA</v>
      </c>
      <c r="AI126" s="426" t="str">
        <f t="shared" si="37"/>
        <v>NA</v>
      </c>
      <c r="AJ126" s="426" t="str">
        <f t="shared" si="38"/>
        <v>NA</v>
      </c>
      <c r="AK126" s="535" t="str">
        <f>IFERROR(INDEX('Current Tenant Policy-Reference'!Q:Q,MATCH('Unit Summary - Rent Roll'!AJ126,'Current Tenant Policy-Reference'!O:O,0)),"NA")</f>
        <v>NA</v>
      </c>
    </row>
    <row r="127" spans="2:37" ht="13.8" x14ac:dyDescent="0.3">
      <c r="B127" s="41"/>
      <c r="C127" s="240" t="s">
        <v>144</v>
      </c>
      <c r="D127" s="42"/>
      <c r="E127" s="43"/>
      <c r="F127" s="251">
        <f>IFERROR(AVERAGEIFS(F27:F126,$F$27:$F$126,"&gt;0"),0)</f>
        <v>0</v>
      </c>
      <c r="G127" s="250">
        <f>SUMIFS($H$27:$H$126,$G$27:$G$126,"Y")</f>
        <v>0</v>
      </c>
      <c r="H127" s="250">
        <f>SUM(H27:H126)</f>
        <v>0</v>
      </c>
      <c r="I127" s="250">
        <f>SUM(I27:I126)</f>
        <v>0</v>
      </c>
      <c r="J127" s="254"/>
      <c r="K127" s="246" t="str">
        <f ca="1">IF(H127=0,"NA",IF(SUMIFS(OFFSET($H$26,1,0):OFFSET($H$127,-1,0),OFFSET($K$26,1,0):OFFSET($K$127,-1,0),"PSH")=H127,"NA - All PSH",IFERROR(ROUNDUP(SUMPRODUCT(OFFSET($H$26,1,0):OFFSET($H$127,-1,0),OFFSET(K$26,1,0):OFFSET(K$127,-1,0))/SUMIFS(OFFSET($H$26,1,0):OFFSET($H$127,-1,0),OFFSET(K$26,1,0):OFFSET(K$127,-1,0),"&gt;0"),2),0)))</f>
        <v>NA</v>
      </c>
      <c r="L127" s="408"/>
      <c r="M127" s="413"/>
      <c r="N127" s="83"/>
      <c r="O127" s="246">
        <f ca="1">IFERROR(ROUNDUP(SUMPRODUCT(OFFSET($H$26,1,0):OFFSET($H$127,-1,0),OFFSET(O$26,1,0):OFFSET(O$127,-1,0))/SUMIFS(OFFSET($H$26,1,0):OFFSET($H$127,-1,0),OFFSET(O$26,1,0):OFFSET(O$127,-1,0),"&gt;0"),2),0)</f>
        <v>0</v>
      </c>
      <c r="P127" s="83"/>
      <c r="Q127" s="83"/>
      <c r="R127" s="79">
        <f ca="1">IFERROR(SUMPRODUCT(OFFSET($H$26,1,0):OFFSET($H$127,-1,0),OFFSET(R$26,1,0):OFFSET(R$127,-1,0))/$G127,0)</f>
        <v>0</v>
      </c>
      <c r="S127" s="80">
        <f ca="1">IFERROR(R127/$F127,0)</f>
        <v>0</v>
      </c>
      <c r="T127" s="99">
        <f ca="1">SUM(OFFSET(T$26,1,0):OFFSET(T$127,-1,0))</f>
        <v>0</v>
      </c>
      <c r="U127" s="79">
        <f ca="1">IFERROR(SUMPRODUCT(OFFSET($H$26,1,0):OFFSET($H$127,-1,0),OFFSET(U$26,1,0):OFFSET(U$127,-1,0))/$H127,0)</f>
        <v>0</v>
      </c>
      <c r="V127" s="80">
        <f ca="1">IFERROR(U127/$F127,0)</f>
        <v>0</v>
      </c>
      <c r="W127" s="99">
        <f ca="1">SUM(OFFSET(W$26,1,0):OFFSET(W$127,-1,0))</f>
        <v>0</v>
      </c>
      <c r="X127" s="82">
        <f ca="1">IFERROR(SUMPRODUCT(OFFSET($H$26,1,0):OFFSET($H$127,-1,0),OFFSET(X$26,1,0):OFFSET(X$127,-1,0))/$H127,0)</f>
        <v>0</v>
      </c>
      <c r="Y127" s="82">
        <f ca="1">IFERROR(SUMPRODUCT(OFFSET($H$26,1,0):OFFSET($H$127,-1,0),OFFSET(Y$26,1,0):OFFSET(Y$127,-1,0))/$H127,0)</f>
        <v>0</v>
      </c>
      <c r="Z127" s="82">
        <f ca="1">IFERROR(SUMPRODUCT(OFFSET($H$26,1,0):OFFSET($H$127,-1,0),OFFSET(Z$26,1,0):OFFSET(Z$127,-1,0))/$H127,0)</f>
        <v>0</v>
      </c>
      <c r="AA127" s="80">
        <f ca="1">IFERROR(Z127/$F127,0)</f>
        <v>0</v>
      </c>
      <c r="AB127" s="99">
        <f ca="1">SUM(OFFSET(AB$26,1,0):OFFSET(AB$127,-1,0))</f>
        <v>0</v>
      </c>
      <c r="AC127" s="82">
        <f ca="1">IFERROR(SUMPRODUCT(OFFSET($H$26,1,0):OFFSET($H$127,-1,0),OFFSET(AC$26,1,0):OFFSET(AC$127,-1,0))/$H127,0)</f>
        <v>0</v>
      </c>
      <c r="AD127" s="88">
        <f ca="1">IFERROR(AC127/$F127,0)</f>
        <v>0</v>
      </c>
      <c r="AE127" s="99">
        <f ca="1">SUM(OFFSET(AE$26,1,0):OFFSET(AE$127,-1,0))</f>
        <v>0</v>
      </c>
      <c r="AF127" s="425"/>
      <c r="AH127" s="430"/>
      <c r="AI127" s="427"/>
      <c r="AJ127" s="427"/>
      <c r="AK127" s="427"/>
    </row>
    <row r="128" spans="2:37" ht="13.8" x14ac:dyDescent="0.3">
      <c r="B128" s="25"/>
      <c r="C128" s="39"/>
      <c r="D128" s="30"/>
      <c r="E128" s="37"/>
      <c r="F128" s="247"/>
      <c r="G128" s="350">
        <f>IFERROR(G127/H127,0)</f>
        <v>0</v>
      </c>
      <c r="H128" s="249"/>
      <c r="I128" s="249"/>
      <c r="J128" s="40"/>
      <c r="K128" s="245" t="str">
        <f ca="1">IF(H127=0,"NA",IF(SUMIFS(OFFSET($H$26,1,0):OFFSET($H$127,-1,0),OFFSET($K$26,1,0):OFFSET($K$127,-1,0),"PSH")=H127,"NA - All PSH",SUMIFS(OFFSET($H$26,1,0):OFFSET($H$127,-1,0),OFFSET(K$26,1,0):OFFSET(K$127,-1,0),"&gt;0")/$H$127))</f>
        <v>NA</v>
      </c>
      <c r="L128" s="26"/>
      <c r="M128" s="414"/>
      <c r="N128" s="245"/>
      <c r="O128" s="245">
        <f ca="1">IFERROR(SUMIFS(OFFSET($H$26,1,0):OFFSET($H$127,-1,0),OFFSET(O$26,1,0):OFFSET(O$127,-1,0),"&gt;0")/$H$127,0)</f>
        <v>0</v>
      </c>
      <c r="P128" s="245"/>
      <c r="Q128" s="245"/>
      <c r="R128" s="40"/>
      <c r="S128" s="31"/>
      <c r="T128" s="100"/>
      <c r="U128" s="40"/>
      <c r="V128" s="31"/>
      <c r="W128" s="94"/>
      <c r="X128" s="30"/>
      <c r="Y128" s="37"/>
      <c r="Z128" s="39"/>
      <c r="AA128" s="39"/>
      <c r="AB128" s="94"/>
      <c r="AC128" s="30"/>
      <c r="AD128" s="39"/>
      <c r="AE128" s="94"/>
      <c r="AF128" s="25"/>
      <c r="AH128" s="20"/>
      <c r="AI128" s="18"/>
      <c r="AJ128" s="18"/>
      <c r="AK128" s="18"/>
    </row>
    <row r="130" spans="35:36" ht="12.75" customHeight="1" x14ac:dyDescent="0.3">
      <c r="AI130"/>
      <c r="AJ130"/>
    </row>
    <row r="131" spans="35:36" ht="12.75" customHeight="1" x14ac:dyDescent="0.3">
      <c r="AI131"/>
      <c r="AJ131"/>
    </row>
    <row r="132" spans="35:36" ht="12.75" customHeight="1" x14ac:dyDescent="0.3">
      <c r="AI132"/>
      <c r="AJ132"/>
    </row>
    <row r="133" spans="35:36" ht="12.75" customHeight="1" x14ac:dyDescent="0.3">
      <c r="AI133"/>
      <c r="AJ133"/>
    </row>
    <row r="134" spans="35:36" ht="12.75" customHeight="1" x14ac:dyDescent="0.3">
      <c r="AI134"/>
      <c r="AJ134"/>
    </row>
    <row r="135" spans="35:36" ht="12.75" customHeight="1" x14ac:dyDescent="0.3">
      <c r="AI135"/>
      <c r="AJ135"/>
    </row>
    <row r="136" spans="35:36" ht="12.75" customHeight="1" x14ac:dyDescent="0.3">
      <c r="AI136"/>
      <c r="AJ136"/>
    </row>
  </sheetData>
  <sheetProtection sheet="1" objects="1" scenarios="1"/>
  <protectedRanges>
    <protectedRange sqref="AC14:AD19 Z6:Z19 B27:H126 J25:N126 P25:R126 U25:U126" name="Rent Roll"/>
  </protectedRanges>
  <mergeCells count="144">
    <mergeCell ref="AJ22:AJ24"/>
    <mergeCell ref="AK22:AK24"/>
    <mergeCell ref="AI22:AI24"/>
    <mergeCell ref="C26:D26"/>
    <mergeCell ref="C25:D25"/>
    <mergeCell ref="C122:D122"/>
    <mergeCell ref="C123:D123"/>
    <mergeCell ref="C124:D124"/>
    <mergeCell ref="C125:D125"/>
    <mergeCell ref="C107:D107"/>
    <mergeCell ref="C108:D108"/>
    <mergeCell ref="C109:D109"/>
    <mergeCell ref="C110:D110"/>
    <mergeCell ref="C111:D111"/>
    <mergeCell ref="C102:D102"/>
    <mergeCell ref="C103:D103"/>
    <mergeCell ref="C104:D104"/>
    <mergeCell ref="C105:D105"/>
    <mergeCell ref="C106:D106"/>
    <mergeCell ref="C97:D97"/>
    <mergeCell ref="C98:D98"/>
    <mergeCell ref="C99:D99"/>
    <mergeCell ref="C100:D100"/>
    <mergeCell ref="C101:D101"/>
    <mergeCell ref="C126:D126"/>
    <mergeCell ref="C117:D117"/>
    <mergeCell ref="C118:D118"/>
    <mergeCell ref="C119:D119"/>
    <mergeCell ref="C120:D120"/>
    <mergeCell ref="C121:D121"/>
    <mergeCell ref="C112:D112"/>
    <mergeCell ref="C113:D113"/>
    <mergeCell ref="C114:D114"/>
    <mergeCell ref="C115:D115"/>
    <mergeCell ref="C116:D116"/>
    <mergeCell ref="C92:D92"/>
    <mergeCell ref="C93:D93"/>
    <mergeCell ref="C94:D94"/>
    <mergeCell ref="C95:D95"/>
    <mergeCell ref="C96:D96"/>
    <mergeCell ref="C87:D87"/>
    <mergeCell ref="C88:D88"/>
    <mergeCell ref="C89:D89"/>
    <mergeCell ref="C90:D90"/>
    <mergeCell ref="C91:D91"/>
    <mergeCell ref="C82:D82"/>
    <mergeCell ref="C83:D83"/>
    <mergeCell ref="C84:D84"/>
    <mergeCell ref="C85:D85"/>
    <mergeCell ref="C86:D86"/>
    <mergeCell ref="C77:D77"/>
    <mergeCell ref="C78:D78"/>
    <mergeCell ref="C79:D79"/>
    <mergeCell ref="C80:D80"/>
    <mergeCell ref="C81:D81"/>
    <mergeCell ref="C72:D72"/>
    <mergeCell ref="C73:D73"/>
    <mergeCell ref="C74:D74"/>
    <mergeCell ref="C75:D75"/>
    <mergeCell ref="C76:D76"/>
    <mergeCell ref="C67:D67"/>
    <mergeCell ref="C68:D68"/>
    <mergeCell ref="C69:D69"/>
    <mergeCell ref="C70:D70"/>
    <mergeCell ref="C71:D71"/>
    <mergeCell ref="C62:D62"/>
    <mergeCell ref="C63:D63"/>
    <mergeCell ref="C64:D64"/>
    <mergeCell ref="C65:D65"/>
    <mergeCell ref="C66:D66"/>
    <mergeCell ref="C57:D57"/>
    <mergeCell ref="C58:D58"/>
    <mergeCell ref="C59:D59"/>
    <mergeCell ref="C60:D60"/>
    <mergeCell ref="C61:D61"/>
    <mergeCell ref="R23:R24"/>
    <mergeCell ref="C52:D52"/>
    <mergeCell ref="C53:D53"/>
    <mergeCell ref="C54:D54"/>
    <mergeCell ref="C55:D55"/>
    <mergeCell ref="C56:D56"/>
    <mergeCell ref="C47:D47"/>
    <mergeCell ref="C48:D48"/>
    <mergeCell ref="C49:D49"/>
    <mergeCell ref="C50:D50"/>
    <mergeCell ref="C51:D51"/>
    <mergeCell ref="C42:D42"/>
    <mergeCell ref="C43:D43"/>
    <mergeCell ref="C44:D44"/>
    <mergeCell ref="C45:D45"/>
    <mergeCell ref="C46:D46"/>
    <mergeCell ref="C37:D37"/>
    <mergeCell ref="C38:D38"/>
    <mergeCell ref="C39:D39"/>
    <mergeCell ref="C40:D40"/>
    <mergeCell ref="C41:D41"/>
    <mergeCell ref="AF22:AF24"/>
    <mergeCell ref="C32:D32"/>
    <mergeCell ref="C33:D33"/>
    <mergeCell ref="C34:D34"/>
    <mergeCell ref="C35:D35"/>
    <mergeCell ref="C36:D36"/>
    <mergeCell ref="C27:D27"/>
    <mergeCell ref="C28:D28"/>
    <mergeCell ref="C29:D29"/>
    <mergeCell ref="C30:D30"/>
    <mergeCell ref="C31:D31"/>
    <mergeCell ref="AE23:AE24"/>
    <mergeCell ref="U22:W22"/>
    <mergeCell ref="W23:W24"/>
    <mergeCell ref="AC23:AC24"/>
    <mergeCell ref="AB23:AB24"/>
    <mergeCell ref="V23:V24"/>
    <mergeCell ref="Z23:Z24"/>
    <mergeCell ref="AA23:AA24"/>
    <mergeCell ref="X22:AB22"/>
    <mergeCell ref="U23:U24"/>
    <mergeCell ref="X23:X24"/>
    <mergeCell ref="Q22:Q24"/>
    <mergeCell ref="R22:T22"/>
    <mergeCell ref="AH22:AH24"/>
    <mergeCell ref="T23:T24"/>
    <mergeCell ref="AC22:AE22"/>
    <mergeCell ref="AD23:AD24"/>
    <mergeCell ref="Y23:Y24"/>
    <mergeCell ref="AG22:AG24"/>
    <mergeCell ref="B4:K15"/>
    <mergeCell ref="X5:Y5"/>
    <mergeCell ref="M21:T21"/>
    <mergeCell ref="K22:K24"/>
    <mergeCell ref="E22:E24"/>
    <mergeCell ref="B22:B24"/>
    <mergeCell ref="G22:G24"/>
    <mergeCell ref="J22:J24"/>
    <mergeCell ref="C22:D24"/>
    <mergeCell ref="M22:M24"/>
    <mergeCell ref="L22:L24"/>
    <mergeCell ref="N22:N24"/>
    <mergeCell ref="S23:S24"/>
    <mergeCell ref="O22:O24"/>
    <mergeCell ref="P22:P24"/>
    <mergeCell ref="F22:F24"/>
    <mergeCell ref="H22:H24"/>
    <mergeCell ref="I22:I24"/>
  </mergeCells>
  <conditionalFormatting sqref="H27:H126">
    <cfRule type="expression" dxfId="1" priority="2">
      <formula>AND(H27&gt;1,G27="Y")</formula>
    </cfRule>
  </conditionalFormatting>
  <dataValidations count="1">
    <dataValidation type="custom" allowBlank="1" showInputMessage="1" showErrorMessage="1" errorTitle="Invalid Unit Count" error="Please input all occupied units individually." sqref="H27:H126" xr:uid="{DA0609D5-5CF3-48C0-B961-D8DEB318FB1C}">
      <formula1>OR(G27="N",AND(H27=1,G27="Y"))</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5700FE56-E0AF-458C-94EF-E0EDAEC42B35}">
          <x14:formula1>
            <xm:f>List!$H$5:$H$8</xm:f>
          </x14:formula1>
          <xm:sqref>L25:L126</xm:sqref>
        </x14:dataValidation>
        <x14:dataValidation type="list" allowBlank="1" showInputMessage="1" showErrorMessage="1" xr:uid="{A1E14FD1-180B-43C9-ABFD-19B958D09375}">
          <x14:formula1>
            <xm:f>List!$B$5:$B$10</xm:f>
          </x14:formula1>
          <xm:sqref>E27:E126</xm:sqref>
        </x14:dataValidation>
        <x14:dataValidation type="list" allowBlank="1" showInputMessage="1" showErrorMessage="1" xr:uid="{FFB0F304-4B89-4218-828F-3898690A9133}">
          <x14:formula1>
            <xm:f>List!$AK$5:$AK$13</xm:f>
          </x14:formula1>
          <xm:sqref>N25:N126</xm:sqref>
        </x14:dataValidation>
        <x14:dataValidation type="list" allowBlank="1" showInputMessage="1" showErrorMessage="1" xr:uid="{27EB1B5A-7275-4F86-9A68-8CC6F6E88449}">
          <x14:formula1>
            <xm:f>List!$AA$5:$AA$6</xm:f>
          </x14:formula1>
          <xm:sqref>Z6:Z18 P25:P126 G27:G126</xm:sqref>
        </x14:dataValidation>
        <x14:dataValidation type="list" allowBlank="1" showInputMessage="1" showErrorMessage="1" xr:uid="{8AB8BD0A-EB6B-46FB-A5A5-7A913F513F25}">
          <x14:formula1>
            <xm:f>List!$F$5:$F$9</xm:f>
          </x14:formula1>
          <xm:sqref>J25:J126</xm:sqref>
        </x14:dataValidation>
        <x14:dataValidation type="list" allowBlank="1" showInputMessage="1" showErrorMessage="1" xr:uid="{8781C13D-14FD-4E3D-8FF1-3366B6466524}">
          <x14:formula1>
            <xm:f>List!$J$5:$J$8</xm:f>
          </x14:formula1>
          <xm:sqref>Q25:Q126</xm:sqref>
        </x14:dataValidation>
        <x14:dataValidation type="list" allowBlank="1" showInputMessage="1" showErrorMessage="1" xr:uid="{20537C0F-58BE-479D-AF96-B7D15026D685}">
          <x14:formula1>
            <xm:f>List!$D$5:$D$28</xm:f>
          </x14:formula1>
          <xm:sqref>K25:K126</xm:sqref>
        </x14:dataValidation>
        <x14:dataValidation type="list" allowBlank="1" showInputMessage="1" showErrorMessage="1" xr:uid="{376C3866-34EA-4CF1-8A99-34191E357CC3}">
          <x14:formula1>
            <xm:f>List!$D$5:$D$18</xm:f>
          </x14:formula1>
          <xm:sqref>K25:K126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5A58C-128B-40E4-BFCC-FD986185975D}">
  <dimension ref="B1:T140"/>
  <sheetViews>
    <sheetView showGridLines="0" zoomScaleNormal="100" workbookViewId="0">
      <selection activeCell="F18" sqref="F18"/>
    </sheetView>
  </sheetViews>
  <sheetFormatPr defaultColWidth="15.6640625" defaultRowHeight="13.8" x14ac:dyDescent="0.3"/>
  <cols>
    <col min="1" max="1" width="2.6640625" style="1" customWidth="1"/>
    <col min="2" max="16384" width="15.6640625" style="1"/>
  </cols>
  <sheetData>
    <row r="1" spans="2:17" s="4" customFormat="1" ht="15.6" x14ac:dyDescent="0.3">
      <c r="B1" s="4" t="s">
        <v>0</v>
      </c>
    </row>
    <row r="2" spans="2:17" s="5" customFormat="1" ht="15" customHeight="1" x14ac:dyDescent="0.3">
      <c r="B2" s="5" t="s">
        <v>145</v>
      </c>
    </row>
    <row r="3" spans="2:17" s="5" customFormat="1" ht="15" customHeight="1" x14ac:dyDescent="0.3"/>
    <row r="4" spans="2:17" s="5" customFormat="1" ht="15" customHeight="1" x14ac:dyDescent="0.3">
      <c r="B4" s="609" t="s">
        <v>146</v>
      </c>
      <c r="C4" s="610"/>
      <c r="D4" s="610"/>
      <c r="E4" s="610"/>
      <c r="F4" s="610"/>
      <c r="G4" s="610"/>
      <c r="H4" s="610"/>
      <c r="I4" s="610"/>
      <c r="J4" s="610"/>
      <c r="K4" s="610"/>
      <c r="L4" s="610"/>
      <c r="M4" s="610"/>
      <c r="N4" s="610"/>
      <c r="O4" s="610"/>
      <c r="P4" s="611"/>
    </row>
    <row r="5" spans="2:17" s="5" customFormat="1" ht="15" customHeight="1" x14ac:dyDescent="0.3">
      <c r="B5" s="612"/>
      <c r="C5" s="613"/>
      <c r="D5" s="613"/>
      <c r="E5" s="613"/>
      <c r="F5" s="613"/>
      <c r="G5" s="613"/>
      <c r="H5" s="613"/>
      <c r="I5" s="613"/>
      <c r="J5" s="613"/>
      <c r="K5" s="613"/>
      <c r="L5" s="613"/>
      <c r="M5" s="613"/>
      <c r="N5" s="613"/>
      <c r="O5" s="613"/>
      <c r="P5" s="614"/>
    </row>
    <row r="6" spans="2:17" s="5" customFormat="1" ht="15" customHeight="1" x14ac:dyDescent="0.3">
      <c r="B6" s="612"/>
      <c r="C6" s="613"/>
      <c r="D6" s="613"/>
      <c r="E6" s="613"/>
      <c r="F6" s="613"/>
      <c r="G6" s="613"/>
      <c r="H6" s="613"/>
      <c r="I6" s="613"/>
      <c r="J6" s="613"/>
      <c r="K6" s="613"/>
      <c r="L6" s="613"/>
      <c r="M6" s="613"/>
      <c r="N6" s="613"/>
      <c r="O6" s="613"/>
      <c r="P6" s="614"/>
    </row>
    <row r="7" spans="2:17" s="5" customFormat="1" ht="15" customHeight="1" x14ac:dyDescent="0.3">
      <c r="B7" s="612"/>
      <c r="C7" s="613"/>
      <c r="D7" s="613"/>
      <c r="E7" s="613"/>
      <c r="F7" s="613"/>
      <c r="G7" s="613"/>
      <c r="H7" s="613"/>
      <c r="I7" s="613"/>
      <c r="J7" s="613"/>
      <c r="K7" s="613"/>
      <c r="L7" s="613"/>
      <c r="M7" s="613"/>
      <c r="N7" s="613"/>
      <c r="O7" s="613"/>
      <c r="P7" s="614"/>
    </row>
    <row r="8" spans="2:17" s="5" customFormat="1" ht="15" customHeight="1" x14ac:dyDescent="0.3">
      <c r="B8" s="612"/>
      <c r="C8" s="613"/>
      <c r="D8" s="613"/>
      <c r="E8" s="613"/>
      <c r="F8" s="613"/>
      <c r="G8" s="613"/>
      <c r="H8" s="613"/>
      <c r="I8" s="613"/>
      <c r="J8" s="613"/>
      <c r="K8" s="613"/>
      <c r="L8" s="613"/>
      <c r="M8" s="613"/>
      <c r="N8" s="613"/>
      <c r="O8" s="613"/>
      <c r="P8" s="614"/>
    </row>
    <row r="9" spans="2:17" s="5" customFormat="1" ht="15" customHeight="1" x14ac:dyDescent="0.3">
      <c r="B9" s="612"/>
      <c r="C9" s="613"/>
      <c r="D9" s="613"/>
      <c r="E9" s="613"/>
      <c r="F9" s="613"/>
      <c r="G9" s="613"/>
      <c r="H9" s="613"/>
      <c r="I9" s="613"/>
      <c r="J9" s="613"/>
      <c r="K9" s="613"/>
      <c r="L9" s="613"/>
      <c r="M9" s="613"/>
      <c r="N9" s="613"/>
      <c r="O9" s="613"/>
      <c r="P9" s="614"/>
    </row>
    <row r="10" spans="2:17" s="5" customFormat="1" ht="15" customHeight="1" x14ac:dyDescent="0.3">
      <c r="B10" s="615"/>
      <c r="C10" s="616"/>
      <c r="D10" s="616"/>
      <c r="E10" s="616"/>
      <c r="F10" s="616"/>
      <c r="G10" s="616"/>
      <c r="H10" s="616"/>
      <c r="I10" s="616"/>
      <c r="J10" s="616"/>
      <c r="K10" s="616"/>
      <c r="L10" s="616"/>
      <c r="M10" s="616"/>
      <c r="N10" s="616"/>
      <c r="O10" s="616"/>
      <c r="P10" s="617"/>
    </row>
    <row r="11" spans="2:17" s="5" customFormat="1" ht="15" customHeight="1" x14ac:dyDescent="0.3">
      <c r="B11" s="60"/>
    </row>
    <row r="12" spans="2:17" s="5" customFormat="1" ht="15" customHeight="1" x14ac:dyDescent="0.3">
      <c r="B12" s="61" t="s">
        <v>3</v>
      </c>
      <c r="C12" s="194" t="s">
        <v>4</v>
      </c>
      <c r="D12" s="62" t="s">
        <v>5</v>
      </c>
      <c r="E12" s="63" t="s">
        <v>6</v>
      </c>
    </row>
    <row r="15" spans="2:17" x14ac:dyDescent="0.3">
      <c r="B15" s="32" t="s">
        <v>147</v>
      </c>
      <c r="C15" s="33"/>
      <c r="D15" s="33"/>
      <c r="E15" s="33"/>
      <c r="F15" s="33"/>
      <c r="G15" s="33"/>
      <c r="H15" s="33"/>
      <c r="I15" s="34"/>
      <c r="J15" s="5"/>
      <c r="K15" s="32" t="s">
        <v>22</v>
      </c>
      <c r="L15" s="33"/>
      <c r="M15" s="33"/>
      <c r="N15" s="33"/>
      <c r="O15" s="33"/>
      <c r="P15" s="34"/>
      <c r="Q15" s="5"/>
    </row>
    <row r="16" spans="2:17" x14ac:dyDescent="0.3">
      <c r="B16" s="618" t="s">
        <v>24</v>
      </c>
      <c r="C16" s="618"/>
      <c r="D16" s="618"/>
      <c r="E16" s="618"/>
      <c r="F16" s="548" t="s">
        <v>26</v>
      </c>
      <c r="G16" s="548" t="s">
        <v>27</v>
      </c>
      <c r="H16" s="548" t="s">
        <v>148</v>
      </c>
      <c r="I16" s="548" t="s">
        <v>28</v>
      </c>
      <c r="J16" s="5"/>
      <c r="K16" s="589" t="s">
        <v>24</v>
      </c>
      <c r="L16" s="619"/>
      <c r="M16" s="548" t="s">
        <v>26</v>
      </c>
      <c r="N16" s="548" t="s">
        <v>27</v>
      </c>
      <c r="O16" s="548" t="s">
        <v>148</v>
      </c>
      <c r="P16" s="548" t="s">
        <v>28</v>
      </c>
      <c r="Q16" s="5"/>
    </row>
    <row r="17" spans="2:17" x14ac:dyDescent="0.3">
      <c r="B17" s="45" t="s">
        <v>70</v>
      </c>
      <c r="C17" s="46"/>
      <c r="D17" s="46"/>
      <c r="E17" s="47"/>
      <c r="F17" s="113"/>
      <c r="G17" s="113"/>
      <c r="H17" s="118"/>
      <c r="I17" s="119"/>
      <c r="J17" s="5"/>
      <c r="K17" s="135" t="s">
        <v>149</v>
      </c>
      <c r="L17" s="136"/>
      <c r="M17" s="142"/>
      <c r="N17" s="142"/>
      <c r="O17" s="118"/>
      <c r="P17" s="145"/>
      <c r="Q17" s="5"/>
    </row>
    <row r="18" spans="2:17" x14ac:dyDescent="0.3">
      <c r="B18" s="501" t="s">
        <v>150</v>
      </c>
      <c r="C18" s="5"/>
      <c r="D18" s="5"/>
      <c r="E18" s="28"/>
      <c r="F18" s="202">
        <v>0</v>
      </c>
      <c r="G18" s="76">
        <f>IFERROR($F18/Overview!$D$31,0)</f>
        <v>0</v>
      </c>
      <c r="H18" s="93">
        <f>IFERROR($F18/Overview!$D$30,0)</f>
        <v>0</v>
      </c>
      <c r="I18" s="120">
        <f>IFERROR($F18/$F$118,0)</f>
        <v>0</v>
      </c>
      <c r="J18" s="5"/>
      <c r="K18" s="188" t="s">
        <v>151</v>
      </c>
      <c r="L18" s="271"/>
      <c r="M18" s="202">
        <v>0</v>
      </c>
      <c r="N18" s="76">
        <f>IFERROR($M18/Overview!$D$31,0)</f>
        <v>0</v>
      </c>
      <c r="O18" s="93">
        <f>IFERROR($M18/Overview!$D$30,0)</f>
        <v>0</v>
      </c>
      <c r="P18" s="120">
        <f>IFERROR($M18/$M$59,0)</f>
        <v>0</v>
      </c>
      <c r="Q18" s="5"/>
    </row>
    <row r="19" spans="2:17" x14ac:dyDescent="0.3">
      <c r="B19" s="501" t="s">
        <v>152</v>
      </c>
      <c r="C19" s="5"/>
      <c r="D19" s="5"/>
      <c r="E19" s="28"/>
      <c r="F19" s="202">
        <v>0</v>
      </c>
      <c r="G19" s="76">
        <f>IFERROR($F19/Overview!$D$31,0)</f>
        <v>0</v>
      </c>
      <c r="H19" s="93">
        <f>IFERROR($F19/Overview!$D$30,0)</f>
        <v>0</v>
      </c>
      <c r="I19" s="120">
        <f>IFERROR($F19/$F$118,0)</f>
        <v>0</v>
      </c>
      <c r="J19" s="5"/>
      <c r="K19" s="188" t="s">
        <v>153</v>
      </c>
      <c r="L19" s="272"/>
      <c r="M19" s="202">
        <v>0</v>
      </c>
      <c r="N19" s="76">
        <f>IFERROR($M19/Overview!$D$31,0)</f>
        <v>0</v>
      </c>
      <c r="O19" s="93">
        <f>IFERROR($M19/Overview!$D$30,0)</f>
        <v>0</v>
      </c>
      <c r="P19" s="120">
        <f t="shared" ref="P19:P35" si="0">IFERROR($M19/$M$59,0)</f>
        <v>0</v>
      </c>
      <c r="Q19" s="5"/>
    </row>
    <row r="20" spans="2:17" x14ac:dyDescent="0.3">
      <c r="B20" s="188" t="s">
        <v>154</v>
      </c>
      <c r="C20" s="207"/>
      <c r="D20" s="207"/>
      <c r="E20" s="189"/>
      <c r="F20" s="202">
        <v>0</v>
      </c>
      <c r="G20" s="76">
        <f>IFERROR($F20/Overview!$D$31,0)</f>
        <v>0</v>
      </c>
      <c r="H20" s="93">
        <f>IFERROR($F20/Overview!$D$30,0)</f>
        <v>0</v>
      </c>
      <c r="I20" s="120">
        <f>IFERROR($F20/$F$118,0)</f>
        <v>0</v>
      </c>
      <c r="J20" s="5"/>
      <c r="K20" s="188" t="s">
        <v>155</v>
      </c>
      <c r="L20" s="272"/>
      <c r="M20" s="202">
        <v>0</v>
      </c>
      <c r="N20" s="76">
        <f>IFERROR($M20/Overview!$D$31,0)</f>
        <v>0</v>
      </c>
      <c r="O20" s="93">
        <f>IFERROR($M20/Overview!$D$30,0)</f>
        <v>0</v>
      </c>
      <c r="P20" s="120">
        <f t="shared" si="0"/>
        <v>0</v>
      </c>
      <c r="Q20" s="5"/>
    </row>
    <row r="21" spans="2:17" x14ac:dyDescent="0.3">
      <c r="B21" s="50" t="s">
        <v>156</v>
      </c>
      <c r="C21" s="51"/>
      <c r="D21" s="51"/>
      <c r="E21" s="52"/>
      <c r="F21" s="114">
        <f>SUM(F18:F20)</f>
        <v>0</v>
      </c>
      <c r="G21" s="114">
        <f>IFERROR($F21/Overview!$D$31,0)</f>
        <v>0</v>
      </c>
      <c r="H21" s="109">
        <f>IFERROR($F21/Overview!$D$30,0)</f>
        <v>0</v>
      </c>
      <c r="I21" s="121">
        <f>IFERROR($F21/$F$118,0)</f>
        <v>0</v>
      </c>
      <c r="J21" s="5"/>
      <c r="K21" s="188" t="s">
        <v>157</v>
      </c>
      <c r="L21" s="272"/>
      <c r="M21" s="202">
        <v>0</v>
      </c>
      <c r="N21" s="76">
        <f>IFERROR($M21/Overview!$D$31,0)</f>
        <v>0</v>
      </c>
      <c r="O21" s="93">
        <f>IFERROR($M21/Overview!$D$30,0)</f>
        <v>0</v>
      </c>
      <c r="P21" s="120">
        <f t="shared" si="0"/>
        <v>0</v>
      </c>
      <c r="Q21" s="5"/>
    </row>
    <row r="22" spans="2:17" x14ac:dyDescent="0.3">
      <c r="B22" s="501"/>
      <c r="C22" s="5"/>
      <c r="D22" s="5"/>
      <c r="E22" s="28"/>
      <c r="F22" s="76"/>
      <c r="G22" s="76"/>
      <c r="H22" s="93"/>
      <c r="I22" s="120"/>
      <c r="J22" s="5"/>
      <c r="K22" s="188" t="s">
        <v>158</v>
      </c>
      <c r="L22" s="272"/>
      <c r="M22" s="202">
        <v>0</v>
      </c>
      <c r="N22" s="76">
        <f>IFERROR($M22/Overview!$D$31,0)</f>
        <v>0</v>
      </c>
      <c r="O22" s="93">
        <f>IFERROR($M22/Overview!$D$30,0)</f>
        <v>0</v>
      </c>
      <c r="P22" s="120">
        <f t="shared" si="0"/>
        <v>0</v>
      </c>
      <c r="Q22" s="5"/>
    </row>
    <row r="23" spans="2:17" x14ac:dyDescent="0.3">
      <c r="B23" s="45" t="s">
        <v>72</v>
      </c>
      <c r="C23" s="46"/>
      <c r="D23" s="46"/>
      <c r="E23" s="47"/>
      <c r="F23" s="113"/>
      <c r="G23" s="113"/>
      <c r="H23" s="108"/>
      <c r="I23" s="122"/>
      <c r="J23" s="5"/>
      <c r="K23" s="188" t="s">
        <v>159</v>
      </c>
      <c r="L23" s="272"/>
      <c r="M23" s="202">
        <v>0</v>
      </c>
      <c r="N23" s="76">
        <f>IFERROR($M23/Overview!$D$31,0)</f>
        <v>0</v>
      </c>
      <c r="O23" s="93">
        <f>IFERROR($M23/Overview!$D$30,0)</f>
        <v>0</v>
      </c>
      <c r="P23" s="120">
        <f t="shared" si="0"/>
        <v>0</v>
      </c>
      <c r="Q23" s="5"/>
    </row>
    <row r="24" spans="2:17" x14ac:dyDescent="0.3">
      <c r="B24" s="54" t="s">
        <v>160</v>
      </c>
      <c r="C24" s="5"/>
      <c r="D24" s="5"/>
      <c r="E24" s="28"/>
      <c r="F24" s="127"/>
      <c r="G24" s="76"/>
      <c r="H24" s="93"/>
      <c r="I24" s="120"/>
      <c r="J24" s="5"/>
      <c r="K24" s="188" t="s">
        <v>161</v>
      </c>
      <c r="L24" s="272"/>
      <c r="M24" s="202">
        <v>0</v>
      </c>
      <c r="N24" s="76">
        <f>IFERROR($M24/Overview!$D$31,0)</f>
        <v>0</v>
      </c>
      <c r="O24" s="93">
        <f>IFERROR($M24/Overview!$D$30,0)</f>
        <v>0</v>
      </c>
      <c r="P24" s="120">
        <f t="shared" si="0"/>
        <v>0</v>
      </c>
      <c r="Q24" s="5"/>
    </row>
    <row r="25" spans="2:17" x14ac:dyDescent="0.3">
      <c r="B25" s="36" t="s">
        <v>162</v>
      </c>
      <c r="C25" s="5"/>
      <c r="D25" s="5"/>
      <c r="E25" s="28"/>
      <c r="F25" s="202">
        <v>0</v>
      </c>
      <c r="G25" s="76">
        <f>IFERROR($F25/Overview!$D$31,0)</f>
        <v>0</v>
      </c>
      <c r="H25" s="93">
        <f>IFERROR($F25/Overview!$D$30,0)</f>
        <v>0</v>
      </c>
      <c r="I25" s="120">
        <f t="shared" ref="I25:I32" si="1">IFERROR($F25/$F$118,0)</f>
        <v>0</v>
      </c>
      <c r="J25" s="5"/>
      <c r="K25" s="501" t="s">
        <v>163</v>
      </c>
      <c r="L25" s="273"/>
      <c r="M25" s="202">
        <v>0</v>
      </c>
      <c r="N25" s="76">
        <f>IFERROR($M25/Overview!$D$31,0)</f>
        <v>0</v>
      </c>
      <c r="O25" s="93">
        <f>IFERROR($M25/Overview!$D$30,0)</f>
        <v>0</v>
      </c>
      <c r="P25" s="120">
        <f t="shared" si="0"/>
        <v>0</v>
      </c>
      <c r="Q25" s="5"/>
    </row>
    <row r="26" spans="2:17" x14ac:dyDescent="0.3">
      <c r="B26" s="36" t="s">
        <v>164</v>
      </c>
      <c r="C26" s="5"/>
      <c r="D26" s="5"/>
      <c r="E26" s="28"/>
      <c r="F26" s="202">
        <v>0</v>
      </c>
      <c r="G26" s="76">
        <f>IFERROR($F26/Overview!$D$31,0)</f>
        <v>0</v>
      </c>
      <c r="H26" s="93">
        <f>IFERROR($F26/Overview!$D$30,0)</f>
        <v>0</v>
      </c>
      <c r="I26" s="120">
        <f t="shared" si="1"/>
        <v>0</v>
      </c>
      <c r="J26" s="5"/>
      <c r="K26" s="501" t="s">
        <v>165</v>
      </c>
      <c r="L26" s="273"/>
      <c r="M26" s="202">
        <v>0</v>
      </c>
      <c r="N26" s="76">
        <f>IFERROR($M26/Overview!$D$31,0)</f>
        <v>0</v>
      </c>
      <c r="O26" s="93">
        <f>IFERROR($M26/Overview!$D$30,0)</f>
        <v>0</v>
      </c>
      <c r="P26" s="120">
        <f t="shared" si="0"/>
        <v>0</v>
      </c>
      <c r="Q26" s="5"/>
    </row>
    <row r="27" spans="2:17" x14ac:dyDescent="0.3">
      <c r="B27" s="36" t="s">
        <v>166</v>
      </c>
      <c r="C27" s="5"/>
      <c r="D27" s="5"/>
      <c r="E27" s="28"/>
      <c r="F27" s="202">
        <v>0</v>
      </c>
      <c r="G27" s="76">
        <f>IFERROR($F27/Overview!$D$31,0)</f>
        <v>0</v>
      </c>
      <c r="H27" s="93">
        <f>IFERROR($F27/Overview!$D$30,0)</f>
        <v>0</v>
      </c>
      <c r="I27" s="120">
        <f t="shared" si="1"/>
        <v>0</v>
      </c>
      <c r="J27" s="5"/>
      <c r="K27" s="501" t="s">
        <v>167</v>
      </c>
      <c r="L27" s="273"/>
      <c r="M27" s="202">
        <v>0</v>
      </c>
      <c r="N27" s="76">
        <f>IFERROR($M27/Overview!$D$31,0)</f>
        <v>0</v>
      </c>
      <c r="O27" s="93">
        <f>IFERROR($M27/Overview!$D$30,0)</f>
        <v>0</v>
      </c>
      <c r="P27" s="120">
        <f t="shared" si="0"/>
        <v>0</v>
      </c>
      <c r="Q27" s="5"/>
    </row>
    <row r="28" spans="2:17" x14ac:dyDescent="0.3">
      <c r="B28" s="36" t="s">
        <v>168</v>
      </c>
      <c r="C28" s="5"/>
      <c r="D28" s="5"/>
      <c r="E28" s="28"/>
      <c r="F28" s="202">
        <v>0</v>
      </c>
      <c r="G28" s="76">
        <f>IFERROR($F28/Overview!$D$31,0)</f>
        <v>0</v>
      </c>
      <c r="H28" s="93">
        <f>IFERROR($F28/Overview!$D$30,0)</f>
        <v>0</v>
      </c>
      <c r="I28" s="120">
        <f t="shared" si="1"/>
        <v>0</v>
      </c>
      <c r="J28" s="5"/>
      <c r="K28" s="501" t="s">
        <v>169</v>
      </c>
      <c r="L28" s="273"/>
      <c r="M28" s="202">
        <v>0</v>
      </c>
      <c r="N28" s="76">
        <f>IFERROR($M28/Overview!$D$31,0)</f>
        <v>0</v>
      </c>
      <c r="O28" s="93">
        <f>IFERROR($M28/Overview!$D$30,0)</f>
        <v>0</v>
      </c>
      <c r="P28" s="120">
        <f t="shared" si="0"/>
        <v>0</v>
      </c>
      <c r="Q28" s="5"/>
    </row>
    <row r="29" spans="2:17" x14ac:dyDescent="0.3">
      <c r="B29" s="36" t="s">
        <v>170</v>
      </c>
      <c r="C29" s="5"/>
      <c r="D29" s="5"/>
      <c r="E29" s="28"/>
      <c r="F29" s="202">
        <v>0</v>
      </c>
      <c r="G29" s="76">
        <f>IFERROR($F29/Overview!$D$31,0)</f>
        <v>0</v>
      </c>
      <c r="H29" s="93">
        <f>IFERROR($F29/Overview!$D$30,0)</f>
        <v>0</v>
      </c>
      <c r="I29" s="120">
        <f t="shared" si="1"/>
        <v>0</v>
      </c>
      <c r="J29" s="5"/>
      <c r="K29" s="501" t="s">
        <v>47</v>
      </c>
      <c r="L29" s="273"/>
      <c r="M29" s="202">
        <v>0</v>
      </c>
      <c r="N29" s="76">
        <f>IFERROR($M29/Overview!$D$31,0)</f>
        <v>0</v>
      </c>
      <c r="O29" s="93">
        <f>IFERROR($M29/Overview!$D$30,0)</f>
        <v>0</v>
      </c>
      <c r="P29" s="120">
        <f t="shared" si="0"/>
        <v>0</v>
      </c>
      <c r="Q29" s="5"/>
    </row>
    <row r="30" spans="2:17" x14ac:dyDescent="0.3">
      <c r="B30" s="36" t="s">
        <v>171</v>
      </c>
      <c r="C30" s="5"/>
      <c r="D30" s="5"/>
      <c r="E30" s="28"/>
      <c r="F30" s="202">
        <v>0</v>
      </c>
      <c r="G30" s="76">
        <f>IFERROR($F30/Overview!$D$31,0)</f>
        <v>0</v>
      </c>
      <c r="H30" s="93">
        <f>IFERROR($F30/Overview!$D$30,0)</f>
        <v>0</v>
      </c>
      <c r="I30" s="120">
        <f t="shared" si="1"/>
        <v>0</v>
      </c>
      <c r="J30" s="5"/>
      <c r="K30" s="501" t="s">
        <v>172</v>
      </c>
      <c r="L30" s="273"/>
      <c r="M30" s="202">
        <v>0</v>
      </c>
      <c r="N30" s="76">
        <f>IFERROR($M30/Overview!$D$31,0)</f>
        <v>0</v>
      </c>
      <c r="O30" s="93">
        <f>IFERROR($M30/Overview!$D$30,0)</f>
        <v>0</v>
      </c>
      <c r="P30" s="120">
        <f t="shared" si="0"/>
        <v>0</v>
      </c>
      <c r="Q30" s="5"/>
    </row>
    <row r="31" spans="2:17" x14ac:dyDescent="0.3">
      <c r="B31" s="206" t="s">
        <v>173</v>
      </c>
      <c r="C31" s="207"/>
      <c r="D31" s="207"/>
      <c r="E31" s="189"/>
      <c r="F31" s="202">
        <v>0</v>
      </c>
      <c r="G31" s="76">
        <f>IFERROR($F31/Overview!$D$31,0)</f>
        <v>0</v>
      </c>
      <c r="H31" s="93">
        <f>IFERROR($F31/Overview!$D$30,0)</f>
        <v>0</v>
      </c>
      <c r="I31" s="120">
        <f t="shared" si="1"/>
        <v>0</v>
      </c>
      <c r="J31" s="5"/>
      <c r="K31" s="501" t="s">
        <v>174</v>
      </c>
      <c r="L31" s="273"/>
      <c r="M31" s="202">
        <v>0</v>
      </c>
      <c r="N31" s="76">
        <f>IFERROR($M31/Overview!$D$31,0)</f>
        <v>0</v>
      </c>
      <c r="O31" s="93">
        <f>IFERROR($M31/Overview!$D$30,0)</f>
        <v>0</v>
      </c>
      <c r="P31" s="120">
        <f t="shared" si="0"/>
        <v>0</v>
      </c>
      <c r="Q31" s="5"/>
    </row>
    <row r="32" spans="2:17" x14ac:dyDescent="0.3">
      <c r="B32" s="53" t="s">
        <v>175</v>
      </c>
      <c r="C32" s="44"/>
      <c r="D32" s="44"/>
      <c r="E32" s="42"/>
      <c r="F32" s="82">
        <f>SUM(F24:F31)</f>
        <v>0</v>
      </c>
      <c r="G32" s="82">
        <f>IFERROR($F32/Overview!$D$31,0)</f>
        <v>0</v>
      </c>
      <c r="H32" s="81">
        <f>IFERROR($F32/Overview!$D$30,0)</f>
        <v>0</v>
      </c>
      <c r="I32" s="123">
        <f t="shared" si="1"/>
        <v>0</v>
      </c>
      <c r="J32" s="5"/>
      <c r="K32" s="501" t="s">
        <v>176</v>
      </c>
      <c r="L32" s="273"/>
      <c r="M32" s="128">
        <f>$M$59-SUM($M$18:$M$31,$M$33:$M$34)</f>
        <v>0</v>
      </c>
      <c r="N32" s="76">
        <f>IFERROR($M32/Overview!$D$31,0)</f>
        <v>0</v>
      </c>
      <c r="O32" s="93">
        <f>IFERROR($M32/Overview!$D$30,0)</f>
        <v>0</v>
      </c>
      <c r="P32" s="120">
        <f t="shared" si="0"/>
        <v>0</v>
      </c>
      <c r="Q32" s="5"/>
    </row>
    <row r="33" spans="2:17" x14ac:dyDescent="0.3">
      <c r="B33" s="501"/>
      <c r="C33" s="5"/>
      <c r="D33" s="5"/>
      <c r="E33" s="28"/>
      <c r="F33" s="76"/>
      <c r="G33" s="76"/>
      <c r="H33" s="93"/>
      <c r="I33" s="120"/>
      <c r="J33" s="5"/>
      <c r="K33" s="188" t="s">
        <v>177</v>
      </c>
      <c r="L33" s="272"/>
      <c r="M33" s="202">
        <v>0</v>
      </c>
      <c r="N33" s="76">
        <f>IFERROR($M33/Overview!$D$31,0)</f>
        <v>0</v>
      </c>
      <c r="O33" s="93">
        <f>IFERROR($M33/Overview!$D$30,0)</f>
        <v>0</v>
      </c>
      <c r="P33" s="120">
        <f t="shared" si="0"/>
        <v>0</v>
      </c>
      <c r="Q33" s="5"/>
    </row>
    <row r="34" spans="2:17" x14ac:dyDescent="0.3">
      <c r="B34" s="54" t="s">
        <v>178</v>
      </c>
      <c r="C34" s="5"/>
      <c r="D34" s="5"/>
      <c r="E34" s="28"/>
      <c r="F34" s="76"/>
      <c r="G34" s="76"/>
      <c r="H34" s="93"/>
      <c r="I34" s="120"/>
      <c r="J34" s="5"/>
      <c r="K34" s="188" t="s">
        <v>177</v>
      </c>
      <c r="L34" s="272"/>
      <c r="M34" s="202">
        <v>0</v>
      </c>
      <c r="N34" s="76">
        <f>IFERROR($M34/Overview!$D$31,0)</f>
        <v>0</v>
      </c>
      <c r="O34" s="93">
        <f>IFERROR($M34/Overview!$D$30,0)</f>
        <v>0</v>
      </c>
      <c r="P34" s="120">
        <f t="shared" si="0"/>
        <v>0</v>
      </c>
      <c r="Q34" s="5"/>
    </row>
    <row r="35" spans="2:17" x14ac:dyDescent="0.3">
      <c r="B35" s="36" t="s">
        <v>179</v>
      </c>
      <c r="C35" s="5"/>
      <c r="D35" s="5"/>
      <c r="E35" s="204">
        <v>0</v>
      </c>
      <c r="F35" s="128">
        <f>$E35*SUM(F$32:F34)</f>
        <v>0</v>
      </c>
      <c r="G35" s="76">
        <f>IFERROR($F35/Overview!$D$31,0)</f>
        <v>0</v>
      </c>
      <c r="H35" s="93">
        <f>IFERROR($F35/Overview!$D$30,0)</f>
        <v>0</v>
      </c>
      <c r="I35" s="120">
        <f t="shared" ref="I35:I44" si="2">IFERROR($F35/$F$118,0)</f>
        <v>0</v>
      </c>
      <c r="J35" s="5"/>
      <c r="K35" s="41" t="s">
        <v>180</v>
      </c>
      <c r="L35" s="42"/>
      <c r="M35" s="82">
        <f>SUM(M18:M34)</f>
        <v>0</v>
      </c>
      <c r="N35" s="82">
        <f>IFERROR($M35/Overview!$D$31,0)</f>
        <v>0</v>
      </c>
      <c r="O35" s="81">
        <f>IFERROR($M35/Overview!$D$30,0)</f>
        <v>0</v>
      </c>
      <c r="P35" s="123">
        <f t="shared" si="0"/>
        <v>0</v>
      </c>
      <c r="Q35" s="5"/>
    </row>
    <row r="36" spans="2:17" x14ac:dyDescent="0.3">
      <c r="B36" s="36" t="s">
        <v>181</v>
      </c>
      <c r="C36" s="5"/>
      <c r="D36" s="5"/>
      <c r="E36" s="204">
        <v>0</v>
      </c>
      <c r="F36" s="128">
        <f>$E36*SUM(F$32:F35)</f>
        <v>0</v>
      </c>
      <c r="G36" s="76">
        <f>IFERROR($F36/Overview!$D$31,0)</f>
        <v>0</v>
      </c>
      <c r="H36" s="93">
        <f>IFERROR($F36/Overview!$D$30,0)</f>
        <v>0</v>
      </c>
      <c r="I36" s="120">
        <f t="shared" si="2"/>
        <v>0</v>
      </c>
      <c r="J36" s="5"/>
      <c r="K36" s="104"/>
      <c r="L36" s="28"/>
      <c r="M36" s="76" t="b">
        <f>M35=$M$59</f>
        <v>1</v>
      </c>
      <c r="N36" s="76"/>
      <c r="O36" s="93"/>
      <c r="P36" s="120"/>
      <c r="Q36" s="5"/>
    </row>
    <row r="37" spans="2:17" x14ac:dyDescent="0.3">
      <c r="B37" s="36" t="s">
        <v>182</v>
      </c>
      <c r="C37" s="5"/>
      <c r="D37" s="5"/>
      <c r="E37" s="204">
        <v>0</v>
      </c>
      <c r="F37" s="128">
        <f>$E37*SUM(F$32:F36)</f>
        <v>0</v>
      </c>
      <c r="G37" s="76">
        <f>IFERROR($F37/Overview!$D$31,0)</f>
        <v>0</v>
      </c>
      <c r="H37" s="93">
        <f>IFERROR($F37/Overview!$D$30,0)</f>
        <v>0</v>
      </c>
      <c r="I37" s="120">
        <f t="shared" si="2"/>
        <v>0</v>
      </c>
      <c r="J37" s="5"/>
      <c r="K37" s="45" t="s">
        <v>57</v>
      </c>
      <c r="L37" s="47"/>
      <c r="M37" s="113"/>
      <c r="N37" s="113"/>
      <c r="O37" s="108"/>
      <c r="P37" s="122"/>
      <c r="Q37" s="5"/>
    </row>
    <row r="38" spans="2:17" x14ac:dyDescent="0.3">
      <c r="B38" s="36" t="s">
        <v>183</v>
      </c>
      <c r="C38" s="5"/>
      <c r="D38" s="5"/>
      <c r="E38" s="204">
        <v>0</v>
      </c>
      <c r="F38" s="128">
        <f>$E38*SUM(F$32:F37)</f>
        <v>0</v>
      </c>
      <c r="G38" s="76">
        <f>IFERROR($F38/Overview!$D$31,0)</f>
        <v>0</v>
      </c>
      <c r="H38" s="93">
        <f>IFERROR($F38/Overview!$D$30,0)</f>
        <v>0</v>
      </c>
      <c r="I38" s="120">
        <f t="shared" si="2"/>
        <v>0</v>
      </c>
      <c r="J38" s="5"/>
      <c r="K38" s="188" t="s">
        <v>184</v>
      </c>
      <c r="L38" s="189"/>
      <c r="M38" s="202">
        <v>0</v>
      </c>
      <c r="N38" s="76">
        <f>IFERROR($M38/Overview!$D$31,0)</f>
        <v>0</v>
      </c>
      <c r="O38" s="93">
        <f>IFERROR($M38/Overview!$D$30,0)</f>
        <v>0</v>
      </c>
      <c r="P38" s="120">
        <f t="shared" ref="P38:P53" si="3">IFERROR($M38/$M$59,0)</f>
        <v>0</v>
      </c>
      <c r="Q38" s="5"/>
    </row>
    <row r="39" spans="2:17" x14ac:dyDescent="0.3">
      <c r="B39" s="36" t="s">
        <v>185</v>
      </c>
      <c r="C39" s="5"/>
      <c r="D39" s="5"/>
      <c r="E39" s="204">
        <v>0</v>
      </c>
      <c r="F39" s="128">
        <f>$E39*SUM(F$32:F38)</f>
        <v>0</v>
      </c>
      <c r="G39" s="76">
        <f>IFERROR($F39/Overview!$D$31,0)</f>
        <v>0</v>
      </c>
      <c r="H39" s="93">
        <f>IFERROR($F39/Overview!$D$30,0)</f>
        <v>0</v>
      </c>
      <c r="I39" s="120">
        <f t="shared" si="2"/>
        <v>0</v>
      </c>
      <c r="J39" s="5"/>
      <c r="K39" s="188" t="s">
        <v>153</v>
      </c>
      <c r="L39" s="189"/>
      <c r="M39" s="202">
        <v>0</v>
      </c>
      <c r="N39" s="76">
        <f>IFERROR($M39/Overview!$D$31,0)</f>
        <v>0</v>
      </c>
      <c r="O39" s="93">
        <f>IFERROR($M39/Overview!$D$30,0)</f>
        <v>0</v>
      </c>
      <c r="P39" s="120">
        <f t="shared" si="3"/>
        <v>0</v>
      </c>
      <c r="Q39" s="5"/>
    </row>
    <row r="40" spans="2:17" x14ac:dyDescent="0.3">
      <c r="B40" s="36" t="s">
        <v>186</v>
      </c>
      <c r="C40" s="5"/>
      <c r="D40" s="5"/>
      <c r="E40" s="204">
        <v>0</v>
      </c>
      <c r="F40" s="128">
        <f>$E40*SUM(F$32:F39)</f>
        <v>0</v>
      </c>
      <c r="G40" s="76">
        <f>IFERROR($F40/Overview!$D$31,0)</f>
        <v>0</v>
      </c>
      <c r="H40" s="93">
        <f>IFERROR($F40/Overview!$D$30,0)</f>
        <v>0</v>
      </c>
      <c r="I40" s="120">
        <f t="shared" si="2"/>
        <v>0</v>
      </c>
      <c r="J40" s="5"/>
      <c r="K40" s="188" t="s">
        <v>155</v>
      </c>
      <c r="L40" s="189"/>
      <c r="M40" s="202">
        <v>0</v>
      </c>
      <c r="N40" s="76">
        <f>IFERROR($M40/Overview!$D$31,0)</f>
        <v>0</v>
      </c>
      <c r="O40" s="93">
        <f>IFERROR($M40/Overview!$D$30,0)</f>
        <v>0</v>
      </c>
      <c r="P40" s="120">
        <f t="shared" si="3"/>
        <v>0</v>
      </c>
      <c r="Q40" s="5"/>
    </row>
    <row r="41" spans="2:17" x14ac:dyDescent="0.3">
      <c r="B41" s="36" t="s">
        <v>187</v>
      </c>
      <c r="C41" s="5"/>
      <c r="D41" s="5"/>
      <c r="E41" s="204">
        <v>0</v>
      </c>
      <c r="F41" s="128">
        <f>$E41*SUM(F$32:F40)</f>
        <v>0</v>
      </c>
      <c r="G41" s="76">
        <f>IFERROR($F41/Overview!$D$31,0)</f>
        <v>0</v>
      </c>
      <c r="H41" s="93">
        <f>IFERROR($F41/Overview!$D$30,0)</f>
        <v>0</v>
      </c>
      <c r="I41" s="120">
        <f t="shared" si="2"/>
        <v>0</v>
      </c>
      <c r="J41" s="5"/>
      <c r="K41" s="188" t="s">
        <v>157</v>
      </c>
      <c r="L41" s="189"/>
      <c r="M41" s="202">
        <v>0</v>
      </c>
      <c r="N41" s="76">
        <f>IFERROR($M41/Overview!$D$31,0)</f>
        <v>0</v>
      </c>
      <c r="O41" s="93">
        <f>IFERROR($M41/Overview!$D$30,0)</f>
        <v>0</v>
      </c>
      <c r="P41" s="120">
        <f t="shared" si="3"/>
        <v>0</v>
      </c>
      <c r="Q41" s="5"/>
    </row>
    <row r="42" spans="2:17" x14ac:dyDescent="0.3">
      <c r="B42" s="36" t="s">
        <v>188</v>
      </c>
      <c r="C42" s="5"/>
      <c r="D42" s="5"/>
      <c r="E42" s="256"/>
      <c r="F42" s="202">
        <v>0</v>
      </c>
      <c r="G42" s="76">
        <f>IFERROR($F42/Overview!$D$31,0)</f>
        <v>0</v>
      </c>
      <c r="H42" s="93">
        <f>IFERROR($F42/Overview!$D$30,0)</f>
        <v>0</v>
      </c>
      <c r="I42" s="120">
        <f t="shared" si="2"/>
        <v>0</v>
      </c>
      <c r="J42" s="5"/>
      <c r="K42" s="188" t="s">
        <v>158</v>
      </c>
      <c r="L42" s="189"/>
      <c r="M42" s="202">
        <v>0</v>
      </c>
      <c r="N42" s="76">
        <f>IFERROR($M42/Overview!$D$31,0)</f>
        <v>0</v>
      </c>
      <c r="O42" s="93">
        <f>IFERROR($M42/Overview!$D$30,0)</f>
        <v>0</v>
      </c>
      <c r="P42" s="120">
        <f t="shared" si="3"/>
        <v>0</v>
      </c>
      <c r="Q42" s="5"/>
    </row>
    <row r="43" spans="2:17" x14ac:dyDescent="0.3">
      <c r="B43" s="206" t="s">
        <v>189</v>
      </c>
      <c r="C43" s="207"/>
      <c r="D43" s="207"/>
      <c r="E43" s="189"/>
      <c r="F43" s="202">
        <v>0</v>
      </c>
      <c r="G43" s="76">
        <f>IFERROR($F43/Overview!$D$31,0)</f>
        <v>0</v>
      </c>
      <c r="H43" s="93">
        <f>IFERROR($F43/Overview!$D$30,0)</f>
        <v>0</v>
      </c>
      <c r="I43" s="120">
        <f t="shared" si="2"/>
        <v>0</v>
      </c>
      <c r="J43" s="5"/>
      <c r="K43" s="188" t="s">
        <v>159</v>
      </c>
      <c r="L43" s="189"/>
      <c r="M43" s="202">
        <v>0</v>
      </c>
      <c r="N43" s="76">
        <f>IFERROR($M43/Overview!$D$31,0)</f>
        <v>0</v>
      </c>
      <c r="O43" s="93">
        <f>IFERROR($M43/Overview!$D$30,0)</f>
        <v>0</v>
      </c>
      <c r="P43" s="120">
        <f t="shared" si="3"/>
        <v>0</v>
      </c>
      <c r="Q43" s="5"/>
    </row>
    <row r="44" spans="2:17" x14ac:dyDescent="0.3">
      <c r="B44" s="53" t="s">
        <v>190</v>
      </c>
      <c r="C44" s="44"/>
      <c r="D44" s="44"/>
      <c r="E44" s="42"/>
      <c r="F44" s="82">
        <f>SUM(F35:F43)</f>
        <v>0</v>
      </c>
      <c r="G44" s="82">
        <f>IFERROR($F44/Overview!$D$31,0)</f>
        <v>0</v>
      </c>
      <c r="H44" s="81">
        <f>IFERROR($F44/Overview!$D$30,0)</f>
        <v>0</v>
      </c>
      <c r="I44" s="123">
        <f t="shared" si="2"/>
        <v>0</v>
      </c>
      <c r="J44" s="5"/>
      <c r="K44" s="188" t="s">
        <v>161</v>
      </c>
      <c r="L44" s="189"/>
      <c r="M44" s="202">
        <v>0</v>
      </c>
      <c r="N44" s="76">
        <f>IFERROR($M44/Overview!$D$31,0)</f>
        <v>0</v>
      </c>
      <c r="O44" s="93">
        <f>IFERROR($M44/Overview!$D$30,0)</f>
        <v>0</v>
      </c>
      <c r="P44" s="120">
        <f t="shared" si="3"/>
        <v>0</v>
      </c>
      <c r="Q44" s="5"/>
    </row>
    <row r="45" spans="2:17" x14ac:dyDescent="0.3">
      <c r="B45" s="501"/>
      <c r="C45" s="5"/>
      <c r="D45" s="5"/>
      <c r="E45" s="28"/>
      <c r="F45" s="76"/>
      <c r="G45" s="76"/>
      <c r="H45" s="93"/>
      <c r="I45" s="120"/>
      <c r="J45" s="5"/>
      <c r="K45" s="501" t="s">
        <v>191</v>
      </c>
      <c r="L45" s="28"/>
      <c r="M45" s="202">
        <v>0</v>
      </c>
      <c r="N45" s="76">
        <f>IFERROR($M45/Overview!$D$31,0)</f>
        <v>0</v>
      </c>
      <c r="O45" s="93">
        <f>IFERROR($M45/Overview!$D$30,0)</f>
        <v>0</v>
      </c>
      <c r="P45" s="120">
        <f t="shared" si="3"/>
        <v>0</v>
      </c>
      <c r="Q45" s="5"/>
    </row>
    <row r="46" spans="2:17" x14ac:dyDescent="0.3">
      <c r="B46" s="57" t="s">
        <v>192</v>
      </c>
      <c r="C46" s="51"/>
      <c r="D46" s="51"/>
      <c r="E46" s="360" t="str">
        <f>IF(F46=0,"NA",IF(Overview!D12="Occupied Rehab",$G$46&gt;=5000,$G$46&gt;=15000))</f>
        <v>NA</v>
      </c>
      <c r="F46" s="114">
        <f>SUM(F44,F32)</f>
        <v>0</v>
      </c>
      <c r="G46" s="114">
        <f>IFERROR($F46/Overview!$D$31,0)</f>
        <v>0</v>
      </c>
      <c r="H46" s="109">
        <f>IFERROR($F46/Overview!$D$30,0)</f>
        <v>0</v>
      </c>
      <c r="I46" s="121">
        <f>IFERROR($F46/$F$118,0)</f>
        <v>0</v>
      </c>
      <c r="J46" s="5"/>
      <c r="K46" s="501" t="s">
        <v>193</v>
      </c>
      <c r="L46" s="28"/>
      <c r="M46" s="202">
        <v>0</v>
      </c>
      <c r="N46" s="76">
        <f>IFERROR($M46/Overview!$D$31,0)</f>
        <v>0</v>
      </c>
      <c r="O46" s="93">
        <f>IFERROR($M46/Overview!$D$30,0)</f>
        <v>0</v>
      </c>
      <c r="P46" s="120">
        <f t="shared" si="3"/>
        <v>0</v>
      </c>
      <c r="Q46" s="5"/>
    </row>
    <row r="47" spans="2:17" x14ac:dyDescent="0.3">
      <c r="B47" s="501"/>
      <c r="C47" s="5"/>
      <c r="D47" s="5"/>
      <c r="E47" s="28"/>
      <c r="F47" s="76"/>
      <c r="G47" s="76"/>
      <c r="H47" s="93"/>
      <c r="I47" s="120"/>
      <c r="J47" s="5"/>
      <c r="K47" s="501" t="s">
        <v>47</v>
      </c>
      <c r="L47" s="28"/>
      <c r="M47" s="202">
        <v>0</v>
      </c>
      <c r="N47" s="76">
        <f>IFERROR($M47/Overview!$D$31,0)</f>
        <v>0</v>
      </c>
      <c r="O47" s="93">
        <f>IFERROR($M47/Overview!$D$30,0)</f>
        <v>0</v>
      </c>
      <c r="P47" s="120">
        <f t="shared" si="3"/>
        <v>0</v>
      </c>
      <c r="Q47" s="5"/>
    </row>
    <row r="48" spans="2:17" x14ac:dyDescent="0.3">
      <c r="B48" s="45" t="s">
        <v>73</v>
      </c>
      <c r="C48" s="46"/>
      <c r="D48" s="46"/>
      <c r="E48" s="47"/>
      <c r="F48" s="113"/>
      <c r="G48" s="113"/>
      <c r="H48" s="108"/>
      <c r="I48" s="122"/>
      <c r="J48" s="5"/>
      <c r="K48" s="501" t="s">
        <v>172</v>
      </c>
      <c r="L48" s="28"/>
      <c r="M48" s="202">
        <v>0</v>
      </c>
      <c r="N48" s="76">
        <f>IFERROR($M48/Overview!$D$31,0)</f>
        <v>0</v>
      </c>
      <c r="O48" s="93">
        <f>IFERROR($M48/Overview!$D$30,0)</f>
        <v>0</v>
      </c>
      <c r="P48" s="120">
        <f t="shared" si="3"/>
        <v>0</v>
      </c>
      <c r="Q48" s="5"/>
    </row>
    <row r="49" spans="2:20" x14ac:dyDescent="0.3">
      <c r="B49" s="54" t="s">
        <v>194</v>
      </c>
      <c r="C49" s="5"/>
      <c r="D49" s="5"/>
      <c r="E49" s="28"/>
      <c r="F49" s="76"/>
      <c r="G49" s="76"/>
      <c r="H49" s="93"/>
      <c r="I49" s="120"/>
      <c r="J49" s="5"/>
      <c r="K49" s="501" t="s">
        <v>174</v>
      </c>
      <c r="L49" s="28"/>
      <c r="M49" s="202">
        <v>0</v>
      </c>
      <c r="N49" s="76">
        <f>IFERROR($M49/Overview!$D$31,0)</f>
        <v>0</v>
      </c>
      <c r="O49" s="93">
        <f>IFERROR($M49/Overview!$D$30,0)</f>
        <v>0</v>
      </c>
      <c r="P49" s="120">
        <f t="shared" si="3"/>
        <v>0</v>
      </c>
      <c r="Q49" s="5"/>
    </row>
    <row r="50" spans="2:20" x14ac:dyDescent="0.3">
      <c r="B50" s="36" t="s">
        <v>195</v>
      </c>
      <c r="C50" s="5"/>
      <c r="D50" s="5"/>
      <c r="E50" s="28"/>
      <c r="F50" s="202">
        <v>0</v>
      </c>
      <c r="G50" s="76">
        <f>IFERROR($F50/Overview!$D$31,0)</f>
        <v>0</v>
      </c>
      <c r="H50" s="93">
        <f>IFERROR($F50/Overview!$D$30,0)</f>
        <v>0</v>
      </c>
      <c r="I50" s="120">
        <f t="shared" ref="I50:I57" si="4">IFERROR($F50/$F$118,0)</f>
        <v>0</v>
      </c>
      <c r="J50" s="5"/>
      <c r="K50" s="501" t="s">
        <v>176</v>
      </c>
      <c r="L50" s="28"/>
      <c r="M50" s="128">
        <f>$M$59-SUM($M$38:$M$49,$M$51:$M$52)</f>
        <v>0</v>
      </c>
      <c r="N50" s="76">
        <f>IFERROR($M50/Overview!$D$31,0)</f>
        <v>0</v>
      </c>
      <c r="O50" s="93">
        <f>IFERROR($M50/Overview!$D$30,0)</f>
        <v>0</v>
      </c>
      <c r="P50" s="120">
        <f t="shared" si="3"/>
        <v>0</v>
      </c>
      <c r="Q50" s="5"/>
    </row>
    <row r="51" spans="2:20" x14ac:dyDescent="0.3">
      <c r="B51" s="36" t="s">
        <v>196</v>
      </c>
      <c r="C51" s="5"/>
      <c r="D51" s="5"/>
      <c r="E51" s="28"/>
      <c r="F51" s="202">
        <v>0</v>
      </c>
      <c r="G51" s="76">
        <f>IFERROR($F51/Overview!$D$31,0)</f>
        <v>0</v>
      </c>
      <c r="H51" s="93">
        <f>IFERROR($F51/Overview!$D$30,0)</f>
        <v>0</v>
      </c>
      <c r="I51" s="120">
        <f t="shared" si="4"/>
        <v>0</v>
      </c>
      <c r="J51" s="5"/>
      <c r="K51" s="188" t="s">
        <v>197</v>
      </c>
      <c r="L51" s="189"/>
      <c r="M51" s="202">
        <v>0</v>
      </c>
      <c r="N51" s="76">
        <f>IFERROR($M51/Overview!$D$31,0)</f>
        <v>0</v>
      </c>
      <c r="O51" s="93">
        <f>IFERROR($M51/Overview!$D$30,0)</f>
        <v>0</v>
      </c>
      <c r="P51" s="120">
        <f t="shared" si="3"/>
        <v>0</v>
      </c>
      <c r="Q51" s="5"/>
    </row>
    <row r="52" spans="2:20" x14ac:dyDescent="0.3">
      <c r="B52" s="36" t="s">
        <v>198</v>
      </c>
      <c r="C52" s="5"/>
      <c r="D52" s="5"/>
      <c r="E52" s="28"/>
      <c r="F52" s="202">
        <v>0</v>
      </c>
      <c r="G52" s="76">
        <f>IFERROR($F52/Overview!$D$31,0)</f>
        <v>0</v>
      </c>
      <c r="H52" s="93">
        <f>IFERROR($F52/Overview!$D$30,0)</f>
        <v>0</v>
      </c>
      <c r="I52" s="120">
        <f t="shared" si="4"/>
        <v>0</v>
      </c>
      <c r="J52" s="5"/>
      <c r="K52" s="188" t="s">
        <v>197</v>
      </c>
      <c r="L52" s="189"/>
      <c r="M52" s="202">
        <v>0</v>
      </c>
      <c r="N52" s="76">
        <f>IFERROR($M52/Overview!$D$31,0)</f>
        <v>0</v>
      </c>
      <c r="O52" s="93">
        <f>IFERROR($M52/Overview!$D$30,0)</f>
        <v>0</v>
      </c>
      <c r="P52" s="120">
        <f t="shared" si="3"/>
        <v>0</v>
      </c>
      <c r="Q52" s="5"/>
    </row>
    <row r="53" spans="2:20" x14ac:dyDescent="0.3">
      <c r="B53" s="36" t="s">
        <v>199</v>
      </c>
      <c r="C53" s="5"/>
      <c r="D53" s="5"/>
      <c r="E53" s="28"/>
      <c r="F53" s="202">
        <v>0</v>
      </c>
      <c r="G53" s="76">
        <f>IFERROR($F53/Overview!$D$31,0)</f>
        <v>0</v>
      </c>
      <c r="H53" s="93">
        <f>IFERROR($F53/Overview!$D$30,0)</f>
        <v>0</v>
      </c>
      <c r="I53" s="120">
        <f t="shared" si="4"/>
        <v>0</v>
      </c>
      <c r="J53" s="5"/>
      <c r="K53" s="41" t="s">
        <v>67</v>
      </c>
      <c r="L53" s="42"/>
      <c r="M53" s="82">
        <f>SUM(M38:M52)</f>
        <v>0</v>
      </c>
      <c r="N53" s="82">
        <f>IFERROR($M53/Overview!$D$31,0)</f>
        <v>0</v>
      </c>
      <c r="O53" s="81">
        <f>IFERROR($M53/Overview!$D$30,0)</f>
        <v>0</v>
      </c>
      <c r="P53" s="123">
        <f t="shared" si="3"/>
        <v>0</v>
      </c>
      <c r="Q53" s="5"/>
    </row>
    <row r="54" spans="2:20" x14ac:dyDescent="0.3">
      <c r="B54" s="36" t="s">
        <v>200</v>
      </c>
      <c r="C54" s="5"/>
      <c r="D54" s="5"/>
      <c r="E54" s="28"/>
      <c r="F54" s="202">
        <v>0</v>
      </c>
      <c r="G54" s="76">
        <f>IFERROR($F54/Overview!$D$31,0)</f>
        <v>0</v>
      </c>
      <c r="H54" s="93">
        <f>IFERROR($F54/Overview!$D$30,0)</f>
        <v>0</v>
      </c>
      <c r="I54" s="120">
        <f t="shared" si="4"/>
        <v>0</v>
      </c>
      <c r="J54" s="5"/>
      <c r="K54" s="104"/>
      <c r="L54" s="28"/>
      <c r="M54" s="76" t="b">
        <f>M53=$M$59</f>
        <v>1</v>
      </c>
      <c r="N54" s="76"/>
      <c r="O54" s="93"/>
      <c r="P54" s="120"/>
      <c r="Q54" s="5"/>
    </row>
    <row r="55" spans="2:20" x14ac:dyDescent="0.3">
      <c r="B55" s="36" t="s">
        <v>201</v>
      </c>
      <c r="C55" s="5"/>
      <c r="D55" s="5"/>
      <c r="E55" s="28"/>
      <c r="F55" s="202">
        <v>0</v>
      </c>
      <c r="G55" s="76">
        <f>IFERROR($F55/Overview!$D$31,0)</f>
        <v>0</v>
      </c>
      <c r="H55" s="93">
        <f>IFERROR($F55/Overview!$D$30,0)</f>
        <v>0</v>
      </c>
      <c r="I55" s="120">
        <f t="shared" si="4"/>
        <v>0</v>
      </c>
      <c r="J55" s="5"/>
      <c r="K55" s="45" t="s">
        <v>69</v>
      </c>
      <c r="L55" s="47"/>
      <c r="M55" s="113"/>
      <c r="N55" s="113"/>
      <c r="O55" s="108"/>
      <c r="P55" s="122"/>
      <c r="Q55" s="5"/>
    </row>
    <row r="56" spans="2:20" x14ac:dyDescent="0.3">
      <c r="B56" s="206" t="s">
        <v>202</v>
      </c>
      <c r="C56" s="207"/>
      <c r="D56" s="207"/>
      <c r="E56" s="189"/>
      <c r="F56" s="202">
        <v>0</v>
      </c>
      <c r="G56" s="76">
        <f>IFERROR($F56/Overview!$D$31,0)</f>
        <v>0</v>
      </c>
      <c r="H56" s="93">
        <f>IFERROR($F56/Overview!$D$30,0)</f>
        <v>0</v>
      </c>
      <c r="I56" s="120">
        <f t="shared" si="4"/>
        <v>0</v>
      </c>
      <c r="J56" s="5"/>
      <c r="K56" s="501" t="s">
        <v>203</v>
      </c>
      <c r="L56" s="28"/>
      <c r="M56" s="128">
        <f>$F$21</f>
        <v>0</v>
      </c>
      <c r="N56" s="76">
        <f>IFERROR($M56/Overview!$D$31,0)</f>
        <v>0</v>
      </c>
      <c r="O56" s="93">
        <f>IFERROR($M56/Overview!$D$30,0)</f>
        <v>0</v>
      </c>
      <c r="P56" s="120">
        <f>IFERROR($M56/$M$59,0)</f>
        <v>0</v>
      </c>
      <c r="Q56" s="5"/>
    </row>
    <row r="57" spans="2:20" x14ac:dyDescent="0.3">
      <c r="B57" s="53" t="s">
        <v>204</v>
      </c>
      <c r="C57" s="44"/>
      <c r="D57" s="44"/>
      <c r="E57" s="42"/>
      <c r="F57" s="82">
        <f>SUM(F50:F56)</f>
        <v>0</v>
      </c>
      <c r="G57" s="82">
        <f>IFERROR($F57/Overview!$D$31,0)</f>
        <v>0</v>
      </c>
      <c r="H57" s="81">
        <f>IFERROR($F57/Overview!$D$30,0)</f>
        <v>0</v>
      </c>
      <c r="I57" s="123">
        <f t="shared" si="4"/>
        <v>0</v>
      </c>
      <c r="J57" s="5"/>
      <c r="K57" s="501" t="s">
        <v>72</v>
      </c>
      <c r="L57" s="28"/>
      <c r="M57" s="128">
        <f>$F$46</f>
        <v>0</v>
      </c>
      <c r="N57" s="76">
        <f>IFERROR($M57/Overview!$D$31,0)</f>
        <v>0</v>
      </c>
      <c r="O57" s="93">
        <f>IFERROR($M57/Overview!$D$30,0)</f>
        <v>0</v>
      </c>
      <c r="P57" s="120">
        <f>IFERROR($M57/$M$59,0)</f>
        <v>0</v>
      </c>
      <c r="Q57" s="5"/>
    </row>
    <row r="58" spans="2:20" x14ac:dyDescent="0.3">
      <c r="B58" s="501"/>
      <c r="C58" s="5"/>
      <c r="D58" s="5"/>
      <c r="E58" s="28"/>
      <c r="F58" s="76"/>
      <c r="G58" s="76"/>
      <c r="H58" s="93"/>
      <c r="I58" s="120"/>
      <c r="J58" s="5"/>
      <c r="K58" s="501" t="s">
        <v>73</v>
      </c>
      <c r="L58" s="28"/>
      <c r="M58" s="128">
        <f>$F$116</f>
        <v>0</v>
      </c>
      <c r="N58" s="76">
        <f>IFERROR($M58/Overview!$D$31,0)</f>
        <v>0</v>
      </c>
      <c r="O58" s="93">
        <f>IFERROR($M58/Overview!$D$30,0)</f>
        <v>0</v>
      </c>
      <c r="P58" s="120">
        <f>IFERROR($M58/$M$59,0)</f>
        <v>0</v>
      </c>
      <c r="Q58" s="5"/>
    </row>
    <row r="59" spans="2:20" x14ac:dyDescent="0.3">
      <c r="B59" s="54" t="s">
        <v>205</v>
      </c>
      <c r="C59" s="5"/>
      <c r="D59" s="5"/>
      <c r="E59" s="28"/>
      <c r="F59" s="76"/>
      <c r="G59" s="76"/>
      <c r="H59" s="93"/>
      <c r="I59" s="120"/>
      <c r="J59" s="5"/>
      <c r="K59" s="41" t="s">
        <v>74</v>
      </c>
      <c r="L59" s="42"/>
      <c r="M59" s="82">
        <f>SUM(M56:M58)</f>
        <v>0</v>
      </c>
      <c r="N59" s="82">
        <f>IFERROR($M59/Overview!$D$31,0)</f>
        <v>0</v>
      </c>
      <c r="O59" s="81">
        <f>IFERROR($M59/Overview!$D$30,0)</f>
        <v>0</v>
      </c>
      <c r="P59" s="123">
        <f>IFERROR($M59/$M$59,0)</f>
        <v>0</v>
      </c>
      <c r="Q59" s="5"/>
    </row>
    <row r="60" spans="2:20" x14ac:dyDescent="0.3">
      <c r="B60" s="36" t="s">
        <v>206</v>
      </c>
      <c r="C60" s="5"/>
      <c r="D60" s="5"/>
      <c r="E60" s="28"/>
      <c r="F60" s="202">
        <v>0</v>
      </c>
      <c r="G60" s="76">
        <f>IFERROR($F60/Overview!$D$31,0)</f>
        <v>0</v>
      </c>
      <c r="H60" s="93">
        <f>IFERROR($F60/Overview!$D$30,0)</f>
        <v>0</v>
      </c>
      <c r="I60" s="120">
        <f t="shared" ref="I60:I66" si="5">IFERROR($F60/$F$118,0)</f>
        <v>0</v>
      </c>
      <c r="J60" s="5"/>
      <c r="K60" s="25"/>
      <c r="L60" s="30"/>
      <c r="M60" s="117"/>
      <c r="N60" s="117"/>
      <c r="O60" s="112"/>
      <c r="P60" s="126"/>
      <c r="Q60" s="5"/>
    </row>
    <row r="61" spans="2:20" x14ac:dyDescent="0.3">
      <c r="B61" s="36" t="s">
        <v>207</v>
      </c>
      <c r="C61" s="5"/>
      <c r="D61" s="5"/>
      <c r="E61" s="28"/>
      <c r="F61" s="202">
        <v>0</v>
      </c>
      <c r="G61" s="76">
        <f>IFERROR($F61/Overview!$D$31,0)</f>
        <v>0</v>
      </c>
      <c r="H61" s="93">
        <f>IFERROR($F61/Overview!$D$30,0)</f>
        <v>0</v>
      </c>
      <c r="I61" s="120">
        <f t="shared" si="5"/>
        <v>0</v>
      </c>
      <c r="J61" s="5"/>
      <c r="K61" s="5"/>
      <c r="L61" s="5"/>
      <c r="M61" s="5"/>
      <c r="N61" s="5"/>
      <c r="O61" s="5"/>
      <c r="P61" s="5"/>
      <c r="Q61" s="5"/>
      <c r="R61" s="5"/>
      <c r="S61" s="5"/>
      <c r="T61" s="5"/>
    </row>
    <row r="62" spans="2:20" x14ac:dyDescent="0.3">
      <c r="B62" s="36" t="s">
        <v>208</v>
      </c>
      <c r="C62" s="5"/>
      <c r="D62" s="5"/>
      <c r="E62" s="28"/>
      <c r="F62" s="202">
        <v>0</v>
      </c>
      <c r="G62" s="76">
        <f>IFERROR($F62/Overview!$D$31,0)</f>
        <v>0</v>
      </c>
      <c r="H62" s="93">
        <f>IFERROR($F62/Overview!$D$30,0)</f>
        <v>0</v>
      </c>
      <c r="I62" s="120">
        <f t="shared" si="5"/>
        <v>0</v>
      </c>
      <c r="J62" s="5"/>
      <c r="K62" s="5"/>
      <c r="L62" s="5"/>
      <c r="M62" s="5"/>
      <c r="N62" s="5"/>
      <c r="O62" s="5"/>
      <c r="P62" s="5"/>
      <c r="Q62" s="5"/>
      <c r="R62" s="5"/>
      <c r="S62" s="5"/>
      <c r="T62" s="5"/>
    </row>
    <row r="63" spans="2:20" x14ac:dyDescent="0.3">
      <c r="B63" s="36" t="s">
        <v>209</v>
      </c>
      <c r="C63" s="5"/>
      <c r="D63" s="5"/>
      <c r="E63" s="28"/>
      <c r="F63" s="202">
        <v>0</v>
      </c>
      <c r="G63" s="76">
        <f>IFERROR($F63/Overview!$D$31,0)</f>
        <v>0</v>
      </c>
      <c r="H63" s="93">
        <f>IFERROR($F63/Overview!$D$30,0)</f>
        <v>0</v>
      </c>
      <c r="I63" s="120">
        <f t="shared" si="5"/>
        <v>0</v>
      </c>
      <c r="J63" s="5"/>
      <c r="K63" s="32" t="s">
        <v>210</v>
      </c>
      <c r="L63" s="33"/>
      <c r="M63" s="33"/>
      <c r="N63" s="33"/>
      <c r="O63" s="34"/>
      <c r="P63" s="5"/>
      <c r="Q63" s="5"/>
      <c r="R63" s="5"/>
      <c r="S63" s="5"/>
      <c r="T63" s="5"/>
    </row>
    <row r="64" spans="2:20" x14ac:dyDescent="0.3">
      <c r="B64" s="36" t="s">
        <v>211</v>
      </c>
      <c r="C64" s="5"/>
      <c r="D64" s="5"/>
      <c r="E64" s="28"/>
      <c r="F64" s="202">
        <v>0</v>
      </c>
      <c r="G64" s="76">
        <f>IFERROR($F64/Overview!$D$31,0)</f>
        <v>0</v>
      </c>
      <c r="H64" s="93">
        <f>IFERROR($F64/Overview!$D$30,0)</f>
        <v>0</v>
      </c>
      <c r="I64" s="120">
        <f t="shared" si="5"/>
        <v>0</v>
      </c>
      <c r="J64" s="5"/>
      <c r="K64" s="568" t="s">
        <v>24</v>
      </c>
      <c r="L64" s="569"/>
      <c r="M64" s="553" t="s">
        <v>212</v>
      </c>
      <c r="N64" s="553" t="s">
        <v>213</v>
      </c>
      <c r="O64" s="553" t="s">
        <v>77</v>
      </c>
      <c r="P64" s="5"/>
      <c r="Q64" s="5"/>
      <c r="R64" s="5"/>
      <c r="S64" s="5"/>
      <c r="T64" s="5"/>
    </row>
    <row r="65" spans="2:20" x14ac:dyDescent="0.3">
      <c r="B65" s="206" t="s">
        <v>214</v>
      </c>
      <c r="C65" s="207"/>
      <c r="D65" s="207"/>
      <c r="E65" s="189"/>
      <c r="F65" s="202">
        <v>0</v>
      </c>
      <c r="G65" s="76">
        <f>IFERROR($F65/Overview!$D$31,0)</f>
        <v>0</v>
      </c>
      <c r="H65" s="93">
        <f>IFERROR($F65/Overview!$D$30,0)</f>
        <v>0</v>
      </c>
      <c r="I65" s="120">
        <f t="shared" si="5"/>
        <v>0</v>
      </c>
      <c r="J65" s="5"/>
      <c r="K65" s="595"/>
      <c r="L65" s="596"/>
      <c r="M65" s="554"/>
      <c r="N65" s="554"/>
      <c r="O65" s="554"/>
      <c r="P65" s="5"/>
      <c r="Q65" s="5"/>
      <c r="R65" s="5"/>
      <c r="S65" s="5"/>
      <c r="T65" s="5"/>
    </row>
    <row r="66" spans="2:20" x14ac:dyDescent="0.3">
      <c r="B66" s="53" t="s">
        <v>215</v>
      </c>
      <c r="C66" s="44"/>
      <c r="D66" s="44"/>
      <c r="E66" s="42"/>
      <c r="F66" s="82">
        <f>SUM(F60:F65)</f>
        <v>0</v>
      </c>
      <c r="G66" s="82">
        <f>IFERROR($F66/Overview!$D$31,0)</f>
        <v>0</v>
      </c>
      <c r="H66" s="81">
        <f>IFERROR($F66/Overview!$D$30,0)</f>
        <v>0</v>
      </c>
      <c r="I66" s="123">
        <f t="shared" si="5"/>
        <v>0</v>
      </c>
      <c r="J66" s="5"/>
      <c r="K66" s="620"/>
      <c r="L66" s="621"/>
      <c r="M66" s="555"/>
      <c r="N66" s="555"/>
      <c r="O66" s="555"/>
      <c r="P66" s="5"/>
      <c r="Q66" s="5"/>
      <c r="R66" s="5"/>
      <c r="S66" s="5"/>
      <c r="T66" s="5"/>
    </row>
    <row r="67" spans="2:20" x14ac:dyDescent="0.3">
      <c r="B67" s="501"/>
      <c r="C67" s="5"/>
      <c r="D67" s="5"/>
      <c r="E67" s="28"/>
      <c r="F67" s="76"/>
      <c r="G67" s="76"/>
      <c r="H67" s="93"/>
      <c r="I67" s="120"/>
      <c r="J67" s="5"/>
      <c r="K67" s="45" t="s">
        <v>216</v>
      </c>
      <c r="L67" s="47"/>
      <c r="M67" s="48"/>
      <c r="N67" s="277"/>
      <c r="O67" s="49"/>
      <c r="P67" s="5"/>
      <c r="Q67" s="5"/>
      <c r="R67" s="5"/>
      <c r="S67" s="5"/>
      <c r="T67" s="5"/>
    </row>
    <row r="68" spans="2:20" x14ac:dyDescent="0.3">
      <c r="B68" s="54" t="s">
        <v>217</v>
      </c>
      <c r="C68" s="5"/>
      <c r="D68" s="5"/>
      <c r="E68" s="28"/>
      <c r="F68" s="76"/>
      <c r="G68" s="76"/>
      <c r="H68" s="93"/>
      <c r="I68" s="120"/>
      <c r="J68" s="5"/>
      <c r="K68" s="501" t="s">
        <v>218</v>
      </c>
      <c r="L68" s="28"/>
      <c r="M68" s="134" t="e">
        <f>IF(Overview!$D$12="Long Term Vacant Rehab","Vacant",INDEX(List!$M$5:$M$9,MATCH(Overview!$D$17,List!$L$5:$L$9,0)))</f>
        <v>#N/A</v>
      </c>
      <c r="N68" s="134" t="e">
        <f>IF(Overview!$D$12="Long Term Vacant Rehab","Vacant",INDEX(List!$M$5:$M$9,MATCH(Overview!$D$17,List!$L$5:$L$9,0)))</f>
        <v>#N/A</v>
      </c>
      <c r="O68" s="64" t="e">
        <f>IF(Overview!$D$12="Long Term Vacant Rehab","Vacant",INDEX(List!$M$5:$M$9,MATCH(Overview!$D$17,List!$L$5:$L$9,0)))</f>
        <v>#N/A</v>
      </c>
      <c r="P68" s="5"/>
      <c r="Q68" s="5"/>
      <c r="R68" s="5"/>
      <c r="S68" s="5"/>
      <c r="T68" s="5"/>
    </row>
    <row r="69" spans="2:20" x14ac:dyDescent="0.3">
      <c r="B69" s="36" t="s">
        <v>219</v>
      </c>
      <c r="C69" s="5"/>
      <c r="D69" s="5"/>
      <c r="E69" s="28"/>
      <c r="F69" s="202">
        <v>0</v>
      </c>
      <c r="G69" s="76">
        <f>IFERROR($F69/Overview!$D$31,0)</f>
        <v>0</v>
      </c>
      <c r="H69" s="93">
        <f>IFERROR($F69/Overview!$D$30,0)</f>
        <v>0</v>
      </c>
      <c r="I69" s="120">
        <f>IFERROR($F69/$F$118,0)</f>
        <v>0</v>
      </c>
      <c r="J69" s="5"/>
      <c r="K69" s="501" t="s">
        <v>220</v>
      </c>
      <c r="L69" s="28"/>
      <c r="M69" s="227" t="str">
        <f ca="1">IFERROR(SUMIFS(INDIRECT(_xlfn.CONCAT("'Data - Reference'!",ADDRESS(41,MATCH(M$68,'Data - Reference'!40:40,0),1),":",ADDRESS(51,MATCH(M$68,'Data - Reference'!40:40,0),1))),'Data - Reference'!$L$41:$L$51,ROUNDUP('Unit Summary - Rent Roll'!$K$127,1)),"NA")</f>
        <v>NA</v>
      </c>
      <c r="N69" s="227" t="str">
        <f ca="1">IFERROR(SUMIFS(INDIRECT(_xlfn.CONCAT("'Data - Reference'!",ADDRESS(41,MATCH(N$68,'Data - Reference'!40:40,0),1),":",ADDRESS(51,MATCH(N$68,'Data - Reference'!40:40,0),1))),'Data - Reference'!$L$41:$L$51,ROUNDUP('Unit Summary - Rent Roll'!$K$127,1)),"NA")</f>
        <v>NA</v>
      </c>
      <c r="O69" s="223" t="str">
        <f ca="1">IFERROR(SUMIFS(INDIRECT(_xlfn.CONCAT("'Data - Reference'!",ADDRESS(41,MATCH(O$68,'Data - Reference'!40:40,0),1),":",ADDRESS(51,MATCH(O$68,'Data - Reference'!40:40,0),1))),'Data - Reference'!$L$41:$L$51,ROUNDUP('Unit Summary - Rent Roll'!$K$127,1)),"NA")</f>
        <v>NA</v>
      </c>
      <c r="P69" s="5"/>
      <c r="Q69" s="5"/>
      <c r="R69" s="5"/>
      <c r="S69" s="5"/>
      <c r="T69" s="5"/>
    </row>
    <row r="70" spans="2:20" x14ac:dyDescent="0.3">
      <c r="B70" s="206" t="s">
        <v>221</v>
      </c>
      <c r="C70" s="207"/>
      <c r="D70" s="207"/>
      <c r="E70" s="189"/>
      <c r="F70" s="202">
        <v>0</v>
      </c>
      <c r="G70" s="76">
        <f>IFERROR($F70/Overview!$D$31,0)</f>
        <v>0</v>
      </c>
      <c r="H70" s="93">
        <f>IFERROR($F70/Overview!$D$30,0)</f>
        <v>0</v>
      </c>
      <c r="I70" s="120">
        <f>IFERROR($F70/$F$118,0)</f>
        <v>0</v>
      </c>
      <c r="J70" s="5"/>
      <c r="K70" s="501" t="s">
        <v>222</v>
      </c>
      <c r="L70" s="28"/>
      <c r="M70" s="227" t="s">
        <v>223</v>
      </c>
      <c r="N70" s="279" t="s">
        <v>224</v>
      </c>
      <c r="O70" s="223" t="s">
        <v>139</v>
      </c>
      <c r="P70" s="5"/>
      <c r="Q70" s="5"/>
      <c r="R70" s="5"/>
      <c r="S70" s="5"/>
      <c r="T70" s="5"/>
    </row>
    <row r="71" spans="2:20" x14ac:dyDescent="0.3">
      <c r="B71" s="53" t="s">
        <v>225</v>
      </c>
      <c r="C71" s="44"/>
      <c r="D71" s="44"/>
      <c r="E71" s="42"/>
      <c r="F71" s="82">
        <f>SUM(F69:F70)</f>
        <v>0</v>
      </c>
      <c r="G71" s="82">
        <f>IFERROR($F71/Overview!$D$31,0)</f>
        <v>0</v>
      </c>
      <c r="H71" s="81">
        <f>IFERROR($F71/Overview!$D$30,0)</f>
        <v>0</v>
      </c>
      <c r="I71" s="123">
        <f>IFERROR($F71/$F$118,0)</f>
        <v>0</v>
      </c>
      <c r="J71" s="5"/>
      <c r="K71" s="104"/>
      <c r="L71" s="28"/>
      <c r="M71" s="35"/>
      <c r="N71" s="276"/>
      <c r="O71" s="29"/>
      <c r="P71" s="5"/>
      <c r="Q71" s="5"/>
      <c r="R71" s="5"/>
      <c r="S71" s="5"/>
      <c r="T71" s="5"/>
    </row>
    <row r="72" spans="2:20" x14ac:dyDescent="0.3">
      <c r="B72" s="501"/>
      <c r="C72" s="5"/>
      <c r="D72" s="5"/>
      <c r="E72" s="28"/>
      <c r="F72" s="76"/>
      <c r="G72" s="76"/>
      <c r="H72" s="93"/>
      <c r="I72" s="120"/>
      <c r="J72" s="5"/>
      <c r="K72" s="45" t="s">
        <v>226</v>
      </c>
      <c r="L72" s="47"/>
      <c r="M72" s="48"/>
      <c r="N72" s="277"/>
      <c r="O72" s="49"/>
      <c r="P72" s="5"/>
      <c r="Q72" s="5"/>
      <c r="R72" s="5"/>
      <c r="S72" s="5"/>
      <c r="T72" s="5"/>
    </row>
    <row r="73" spans="2:20" x14ac:dyDescent="0.3">
      <c r="B73" s="54" t="s">
        <v>227</v>
      </c>
      <c r="C73" s="5"/>
      <c r="D73" s="5"/>
      <c r="E73" s="28"/>
      <c r="F73" s="76"/>
      <c r="G73" s="76"/>
      <c r="H73" s="93"/>
      <c r="I73" s="120"/>
      <c r="J73" s="5"/>
      <c r="K73" s="501" t="s">
        <v>228</v>
      </c>
      <c r="L73" s="28"/>
      <c r="M73" s="72">
        <f ca="1">'Unit Summary - Rent Roll'!$AE$127</f>
        <v>0</v>
      </c>
      <c r="N73" s="293">
        <f ca="1">'Unit Summary - Rent Roll'!$AB$127</f>
        <v>0</v>
      </c>
      <c r="O73" s="294">
        <f ca="1">'Unit Summary - Rent Roll'!$AB$127</f>
        <v>0</v>
      </c>
      <c r="P73" s="5"/>
      <c r="Q73" s="5"/>
      <c r="R73" s="5"/>
      <c r="S73" s="5"/>
      <c r="T73" s="5"/>
    </row>
    <row r="74" spans="2:20" x14ac:dyDescent="0.3">
      <c r="B74" s="36" t="s">
        <v>229</v>
      </c>
      <c r="C74" s="5"/>
      <c r="D74" s="5"/>
      <c r="E74" s="28"/>
      <c r="F74" s="202">
        <v>0</v>
      </c>
      <c r="G74" s="76">
        <f>IFERROR($F74/Overview!$D$31,0)</f>
        <v>0</v>
      </c>
      <c r="H74" s="93">
        <f>IFERROR($F74/Overview!$D$30,0)</f>
        <v>0</v>
      </c>
      <c r="I74" s="120">
        <f t="shared" ref="I74:I83" si="6">IFERROR($F74/$F$118,0)</f>
        <v>0</v>
      </c>
      <c r="J74" s="5"/>
      <c r="K74" s="501" t="s">
        <v>230</v>
      </c>
      <c r="L74" s="314">
        <v>0</v>
      </c>
      <c r="M74" s="315">
        <f ca="1">-L74*M73</f>
        <v>0</v>
      </c>
      <c r="N74" s="362" t="s">
        <v>139</v>
      </c>
      <c r="O74" s="363" t="s">
        <v>139</v>
      </c>
      <c r="P74" s="5"/>
      <c r="Q74" s="5"/>
      <c r="R74" s="5"/>
      <c r="S74" s="5"/>
      <c r="T74" s="5"/>
    </row>
    <row r="75" spans="2:20" x14ac:dyDescent="0.3">
      <c r="B75" s="36" t="s">
        <v>231</v>
      </c>
      <c r="C75" s="5"/>
      <c r="D75" s="5"/>
      <c r="E75" s="28"/>
      <c r="F75" s="202">
        <v>0</v>
      </c>
      <c r="G75" s="76">
        <f>IFERROR($F75/Overview!$D$31,0)</f>
        <v>0</v>
      </c>
      <c r="H75" s="93">
        <f>IFERROR($F75/Overview!$D$30,0)</f>
        <v>0</v>
      </c>
      <c r="I75" s="120">
        <f t="shared" si="6"/>
        <v>0</v>
      </c>
      <c r="J75" s="5"/>
      <c r="K75" s="501" t="s">
        <v>232</v>
      </c>
      <c r="L75" s="316">
        <v>0</v>
      </c>
      <c r="M75" s="315">
        <f>-$L$75*'Unit Summary - Rent Roll'!$H$127</f>
        <v>0</v>
      </c>
      <c r="N75" s="317">
        <f>-$L$75*'Unit Summary - Rent Roll'!$H$127</f>
        <v>0</v>
      </c>
      <c r="O75" s="363" t="s">
        <v>139</v>
      </c>
      <c r="P75" s="5"/>
      <c r="Q75" s="5"/>
      <c r="R75" s="5"/>
      <c r="S75" s="5"/>
      <c r="T75" s="5"/>
    </row>
    <row r="76" spans="2:20" x14ac:dyDescent="0.3">
      <c r="B76" s="36" t="s">
        <v>233</v>
      </c>
      <c r="C76" s="5"/>
      <c r="D76" s="5"/>
      <c r="E76" s="28"/>
      <c r="F76" s="202">
        <v>0</v>
      </c>
      <c r="G76" s="76">
        <f>IFERROR($F76/Overview!$D$31,0)</f>
        <v>0</v>
      </c>
      <c r="H76" s="93">
        <f>IFERROR($F76/Overview!$D$30,0)</f>
        <v>0</v>
      </c>
      <c r="I76" s="120">
        <f t="shared" si="6"/>
        <v>0</v>
      </c>
      <c r="J76" s="5"/>
      <c r="K76" s="41" t="s">
        <v>234</v>
      </c>
      <c r="L76" s="42"/>
      <c r="M76" s="82">
        <f ca="1">SUM(M73:M75)</f>
        <v>0</v>
      </c>
      <c r="N76" s="275">
        <f ca="1">SUM(N73:N75)</f>
        <v>0</v>
      </c>
      <c r="O76" s="90">
        <f ca="1">SUM(O73:O75)</f>
        <v>0</v>
      </c>
      <c r="P76" s="5"/>
      <c r="Q76" s="5"/>
      <c r="R76" s="5"/>
      <c r="S76" s="5"/>
      <c r="T76" s="5"/>
    </row>
    <row r="77" spans="2:20" x14ac:dyDescent="0.3">
      <c r="B77" s="36" t="s">
        <v>235</v>
      </c>
      <c r="C77" s="5"/>
      <c r="D77" s="5"/>
      <c r="E77" s="28"/>
      <c r="F77" s="202">
        <v>0</v>
      </c>
      <c r="G77" s="76">
        <f>IFERROR($F77/Overview!$D$31,0)</f>
        <v>0</v>
      </c>
      <c r="H77" s="93">
        <f>IFERROR($F77/Overview!$D$30,0)</f>
        <v>0</v>
      </c>
      <c r="I77" s="120">
        <f t="shared" si="6"/>
        <v>0</v>
      </c>
      <c r="J77" s="5"/>
      <c r="K77" s="104"/>
      <c r="L77" s="28"/>
      <c r="M77" s="35"/>
      <c r="N77" s="276"/>
      <c r="O77" s="29"/>
      <c r="P77" s="5"/>
      <c r="Q77" s="5"/>
      <c r="R77" s="5"/>
      <c r="S77" s="5"/>
      <c r="T77" s="5"/>
    </row>
    <row r="78" spans="2:20" x14ac:dyDescent="0.3">
      <c r="B78" s="36" t="s">
        <v>236</v>
      </c>
      <c r="C78" s="5"/>
      <c r="D78" s="5"/>
      <c r="E78" s="28"/>
      <c r="F78" s="202">
        <v>0</v>
      </c>
      <c r="G78" s="76">
        <f>IFERROR($F78/Overview!$D$31,0)</f>
        <v>0</v>
      </c>
      <c r="H78" s="93">
        <f>IFERROR($F78/Overview!$D$30,0)</f>
        <v>0</v>
      </c>
      <c r="I78" s="120">
        <f t="shared" si="6"/>
        <v>0</v>
      </c>
      <c r="J78" s="5"/>
      <c r="K78" s="45" t="s">
        <v>237</v>
      </c>
      <c r="L78" s="47"/>
      <c r="M78" s="48"/>
      <c r="N78" s="277"/>
      <c r="O78" s="49"/>
      <c r="P78" s="5"/>
      <c r="Q78" s="5"/>
      <c r="R78" s="5"/>
      <c r="S78" s="5"/>
      <c r="T78" s="5"/>
    </row>
    <row r="79" spans="2:20" x14ac:dyDescent="0.3">
      <c r="B79" s="36" t="s">
        <v>238</v>
      </c>
      <c r="C79" s="5"/>
      <c r="D79" s="5"/>
      <c r="E79" s="28"/>
      <c r="F79" s="202">
        <v>0</v>
      </c>
      <c r="G79" s="76">
        <f>IFERROR($F79/Overview!$D$31,0)</f>
        <v>0</v>
      </c>
      <c r="H79" s="93">
        <f>IFERROR($F79/Overview!$D$30,0)</f>
        <v>0</v>
      </c>
      <c r="I79" s="120">
        <f t="shared" si="6"/>
        <v>0</v>
      </c>
      <c r="J79" s="5"/>
      <c r="K79" s="501" t="s">
        <v>239</v>
      </c>
      <c r="L79" s="28"/>
      <c r="M79" s="361">
        <f ca="1">IFERROR(M$69*M$76,0)</f>
        <v>0</v>
      </c>
      <c r="N79" s="362">
        <f ca="1">IFERROR(N$69*N$76,0)</f>
        <v>0</v>
      </c>
      <c r="O79" s="363">
        <f ca="1">IFERROR(O$69*O$76,0)</f>
        <v>0</v>
      </c>
      <c r="P79" s="5"/>
      <c r="Q79" s="5"/>
      <c r="R79" s="5"/>
      <c r="S79" s="5"/>
      <c r="T79" s="5"/>
    </row>
    <row r="80" spans="2:20" x14ac:dyDescent="0.3">
      <c r="B80" s="36" t="s">
        <v>240</v>
      </c>
      <c r="C80" s="5"/>
      <c r="D80" s="5"/>
      <c r="E80" s="28"/>
      <c r="F80" s="202">
        <v>0</v>
      </c>
      <c r="G80" s="76">
        <f>IFERROR($F80/Overview!$D$31,0)</f>
        <v>0</v>
      </c>
      <c r="H80" s="93">
        <f>IFERROR($F80/Overview!$D$30,0)</f>
        <v>0</v>
      </c>
      <c r="I80" s="120">
        <f t="shared" si="6"/>
        <v>0</v>
      </c>
      <c r="J80" s="5"/>
      <c r="K80" s="283" t="s">
        <v>241</v>
      </c>
      <c r="L80" s="38"/>
      <c r="M80" s="364">
        <f ca="1">IFERROR(M$79/Overview!$D$31,0)</f>
        <v>0</v>
      </c>
      <c r="N80" s="365">
        <f ca="1">IFERROR(N$79/Overview!$D$31,0)</f>
        <v>0</v>
      </c>
      <c r="O80" s="366">
        <f ca="1">IFERROR(O$79/Overview!$D$31,0)</f>
        <v>0</v>
      </c>
      <c r="P80" s="5"/>
      <c r="Q80" s="5"/>
      <c r="R80" s="5"/>
      <c r="S80" s="5"/>
      <c r="T80" s="5"/>
    </row>
    <row r="81" spans="2:20" x14ac:dyDescent="0.3">
      <c r="B81" s="36" t="s">
        <v>242</v>
      </c>
      <c r="C81" s="5"/>
      <c r="D81" s="5"/>
      <c r="E81" s="28"/>
      <c r="F81" s="202">
        <v>0</v>
      </c>
      <c r="G81" s="76">
        <f>IFERROR($F81/Overview!$D$31,0)</f>
        <v>0</v>
      </c>
      <c r="H81" s="93">
        <f>IFERROR($F81/Overview!$D$30,0)</f>
        <v>0</v>
      </c>
      <c r="I81" s="120">
        <f t="shared" si="6"/>
        <v>0</v>
      </c>
      <c r="J81" s="5"/>
      <c r="K81" s="180"/>
      <c r="L81" s="181"/>
      <c r="M81" s="182"/>
      <c r="N81" s="282"/>
      <c r="O81" s="183"/>
      <c r="P81" s="5"/>
      <c r="Q81" s="5"/>
      <c r="R81" s="5"/>
      <c r="S81" s="5"/>
      <c r="T81" s="5"/>
    </row>
    <row r="82" spans="2:20" x14ac:dyDescent="0.3">
      <c r="B82" s="206" t="s">
        <v>243</v>
      </c>
      <c r="C82" s="207"/>
      <c r="D82" s="207"/>
      <c r="E82" s="189"/>
      <c r="F82" s="202">
        <v>0</v>
      </c>
      <c r="G82" s="76">
        <f>IFERROR($F82/Overview!$D$31,0)</f>
        <v>0</v>
      </c>
      <c r="H82" s="93">
        <f>IFERROR($F82/Overview!$D$30,0)</f>
        <v>0</v>
      </c>
      <c r="I82" s="120">
        <f t="shared" si="6"/>
        <v>0</v>
      </c>
      <c r="J82" s="5"/>
      <c r="K82" s="5"/>
      <c r="L82" s="5"/>
      <c r="M82" s="5"/>
      <c r="N82" s="5"/>
      <c r="O82" s="5"/>
      <c r="P82" s="5"/>
      <c r="Q82" s="5"/>
      <c r="R82" s="5"/>
      <c r="S82" s="5"/>
      <c r="T82" s="5"/>
    </row>
    <row r="83" spans="2:20" x14ac:dyDescent="0.3">
      <c r="B83" s="53" t="s">
        <v>244</v>
      </c>
      <c r="C83" s="44"/>
      <c r="D83" s="44"/>
      <c r="E83" s="42"/>
      <c r="F83" s="82">
        <f>SUM(F74:F82)</f>
        <v>0</v>
      </c>
      <c r="G83" s="82">
        <f>IFERROR($F83/Overview!$D$31,0)</f>
        <v>0</v>
      </c>
      <c r="H83" s="81">
        <f>IFERROR($F83/Overview!$D$30,0)</f>
        <v>0</v>
      </c>
      <c r="I83" s="123">
        <f t="shared" si="6"/>
        <v>0</v>
      </c>
      <c r="J83" s="5"/>
      <c r="K83" s="5"/>
      <c r="L83" s="5"/>
      <c r="M83" s="5"/>
      <c r="N83" s="5"/>
      <c r="O83" s="5"/>
      <c r="P83" s="5"/>
      <c r="Q83" s="5"/>
      <c r="R83" s="5"/>
      <c r="S83" s="5"/>
      <c r="T83" s="5"/>
    </row>
    <row r="84" spans="2:20" x14ac:dyDescent="0.3">
      <c r="B84" s="257"/>
      <c r="C84" s="55"/>
      <c r="D84" s="55"/>
      <c r="E84" s="56"/>
      <c r="F84" s="115"/>
      <c r="G84" s="115"/>
      <c r="H84" s="110"/>
      <c r="I84" s="124"/>
      <c r="J84" s="5"/>
      <c r="K84" s="5"/>
      <c r="L84" s="5"/>
      <c r="M84" s="5"/>
      <c r="N84" s="5"/>
      <c r="O84" s="5"/>
      <c r="P84" s="5"/>
      <c r="Q84" s="5"/>
      <c r="R84" s="5"/>
      <c r="S84" s="5"/>
      <c r="T84" s="5"/>
    </row>
    <row r="85" spans="2:20" x14ac:dyDescent="0.3">
      <c r="B85" s="54" t="s">
        <v>245</v>
      </c>
      <c r="C85" s="5"/>
      <c r="D85" s="5"/>
      <c r="E85" s="28"/>
      <c r="F85" s="76"/>
      <c r="G85" s="76"/>
      <c r="H85" s="93"/>
      <c r="I85" s="120"/>
      <c r="J85" s="5"/>
      <c r="K85" s="5"/>
      <c r="L85" s="5"/>
      <c r="M85" s="5"/>
      <c r="N85" s="5"/>
      <c r="O85" s="5"/>
      <c r="P85" s="5"/>
      <c r="Q85" s="5"/>
      <c r="R85" s="5"/>
      <c r="S85" s="5"/>
      <c r="T85" s="5"/>
    </row>
    <row r="86" spans="2:20" x14ac:dyDescent="0.3">
      <c r="B86" s="36" t="s">
        <v>246</v>
      </c>
      <c r="C86" s="5"/>
      <c r="D86" s="5"/>
      <c r="E86" s="28"/>
      <c r="F86" s="202">
        <v>0</v>
      </c>
      <c r="G86" s="76">
        <f>IFERROR($F86/Overview!$D$31,0)</f>
        <v>0</v>
      </c>
      <c r="H86" s="93">
        <f>IFERROR($F86/Overview!$D$30,0)</f>
        <v>0</v>
      </c>
      <c r="I86" s="120">
        <f t="shared" ref="I86:I93" si="7">IFERROR($F86/$F$118,0)</f>
        <v>0</v>
      </c>
      <c r="J86" s="5"/>
      <c r="K86" s="5"/>
      <c r="L86" s="5"/>
      <c r="M86" s="5"/>
      <c r="N86" s="5"/>
      <c r="O86" s="5"/>
      <c r="P86" s="5"/>
      <c r="Q86" s="5"/>
      <c r="R86" s="5"/>
      <c r="S86" s="5"/>
      <c r="T86" s="5"/>
    </row>
    <row r="87" spans="2:20" x14ac:dyDescent="0.3">
      <c r="B87" s="36" t="s">
        <v>247</v>
      </c>
      <c r="C87" s="5"/>
      <c r="D87" s="5"/>
      <c r="E87" s="28"/>
      <c r="F87" s="202">
        <v>0</v>
      </c>
      <c r="G87" s="76">
        <f>IFERROR($F87/Overview!$D$31,0)</f>
        <v>0</v>
      </c>
      <c r="H87" s="93">
        <f>IFERROR($F87/Overview!$D$30,0)</f>
        <v>0</v>
      </c>
      <c r="I87" s="120">
        <f t="shared" si="7"/>
        <v>0</v>
      </c>
      <c r="J87" s="5"/>
      <c r="K87" s="5"/>
      <c r="L87" s="5"/>
      <c r="M87" s="5"/>
      <c r="N87" s="5"/>
      <c r="O87" s="5"/>
      <c r="P87" s="5"/>
      <c r="Q87" s="5"/>
      <c r="R87" s="5"/>
      <c r="S87" s="5"/>
      <c r="T87" s="5"/>
    </row>
    <row r="88" spans="2:20" x14ac:dyDescent="0.3">
      <c r="B88" s="36" t="s">
        <v>248</v>
      </c>
      <c r="C88" s="5"/>
      <c r="D88" s="5"/>
      <c r="E88" s="28"/>
      <c r="F88" s="202">
        <v>0</v>
      </c>
      <c r="G88" s="76">
        <f>IFERROR($F88/Overview!$D$31,0)</f>
        <v>0</v>
      </c>
      <c r="H88" s="93">
        <f>IFERROR($F88/Overview!$D$30,0)</f>
        <v>0</v>
      </c>
      <c r="I88" s="120">
        <f t="shared" si="7"/>
        <v>0</v>
      </c>
      <c r="J88" s="5"/>
      <c r="K88" s="5"/>
      <c r="L88" s="5"/>
      <c r="M88" s="5"/>
      <c r="N88" s="5"/>
      <c r="O88" s="5"/>
      <c r="P88" s="5"/>
      <c r="Q88" s="5"/>
      <c r="R88" s="5"/>
      <c r="S88" s="5"/>
      <c r="T88" s="5"/>
    </row>
    <row r="89" spans="2:20" x14ac:dyDescent="0.3">
      <c r="B89" s="36" t="s">
        <v>249</v>
      </c>
      <c r="C89" s="5"/>
      <c r="D89" s="5"/>
      <c r="E89" s="28"/>
      <c r="F89" s="202">
        <v>0</v>
      </c>
      <c r="G89" s="76">
        <f>IFERROR($F89/Overview!$D$31,0)</f>
        <v>0</v>
      </c>
      <c r="H89" s="93">
        <f>IFERROR($F89/Overview!$D$30,0)</f>
        <v>0</v>
      </c>
      <c r="I89" s="120">
        <f t="shared" si="7"/>
        <v>0</v>
      </c>
      <c r="J89" s="5"/>
      <c r="K89" s="5"/>
      <c r="L89" s="5"/>
      <c r="M89" s="5"/>
      <c r="N89" s="5"/>
      <c r="O89" s="5"/>
      <c r="P89" s="5"/>
      <c r="Q89" s="5"/>
      <c r="R89" s="5"/>
      <c r="S89" s="5"/>
      <c r="T89" s="5"/>
    </row>
    <row r="90" spans="2:20" x14ac:dyDescent="0.3">
      <c r="B90" s="36" t="s">
        <v>250</v>
      </c>
      <c r="C90" s="5"/>
      <c r="D90" s="5"/>
      <c r="E90" s="28"/>
      <c r="F90" s="202">
        <v>0</v>
      </c>
      <c r="G90" s="76">
        <f>IFERROR($F90/Overview!$D$31,0)</f>
        <v>0</v>
      </c>
      <c r="H90" s="93">
        <f>IFERROR($F90/Overview!$D$30,0)</f>
        <v>0</v>
      </c>
      <c r="I90" s="120">
        <f t="shared" si="7"/>
        <v>0</v>
      </c>
      <c r="J90" s="5"/>
      <c r="K90" s="5"/>
      <c r="L90" s="5"/>
      <c r="M90" s="5"/>
      <c r="N90" s="5"/>
      <c r="O90" s="5"/>
      <c r="P90" s="5"/>
      <c r="Q90" s="5"/>
      <c r="R90" s="5"/>
      <c r="S90" s="5"/>
      <c r="T90" s="5"/>
    </row>
    <row r="91" spans="2:20" x14ac:dyDescent="0.3">
      <c r="B91" s="36" t="s">
        <v>251</v>
      </c>
      <c r="C91" s="5"/>
      <c r="D91" s="5"/>
      <c r="E91" s="28"/>
      <c r="F91" s="202">
        <v>0</v>
      </c>
      <c r="G91" s="76">
        <f>IFERROR($F91/Overview!$D$31,0)</f>
        <v>0</v>
      </c>
      <c r="H91" s="93">
        <f>IFERROR($F91/Overview!$D$30,0)</f>
        <v>0</v>
      </c>
      <c r="I91" s="120">
        <f t="shared" si="7"/>
        <v>0</v>
      </c>
      <c r="J91" s="5"/>
      <c r="K91" s="5"/>
      <c r="L91" s="5"/>
      <c r="M91" s="5"/>
      <c r="N91" s="5"/>
      <c r="O91" s="5"/>
      <c r="P91" s="5"/>
      <c r="Q91" s="5"/>
      <c r="R91" s="5"/>
      <c r="S91" s="5"/>
      <c r="T91" s="5"/>
    </row>
    <row r="92" spans="2:20" x14ac:dyDescent="0.3">
      <c r="B92" s="206" t="s">
        <v>243</v>
      </c>
      <c r="C92" s="207"/>
      <c r="D92" s="207"/>
      <c r="E92" s="189"/>
      <c r="F92" s="202">
        <v>0</v>
      </c>
      <c r="G92" s="76">
        <f>IFERROR($F92/Overview!$D$31,0)</f>
        <v>0</v>
      </c>
      <c r="H92" s="93">
        <f>IFERROR($F92/Overview!$D$30,0)</f>
        <v>0</v>
      </c>
      <c r="I92" s="120">
        <f t="shared" si="7"/>
        <v>0</v>
      </c>
      <c r="J92" s="5"/>
      <c r="K92" s="5"/>
      <c r="L92" s="5"/>
      <c r="M92" s="5"/>
      <c r="N92" s="5"/>
      <c r="O92" s="5"/>
      <c r="P92" s="5"/>
      <c r="Q92" s="5"/>
      <c r="R92" s="5"/>
      <c r="S92" s="5"/>
      <c r="T92" s="5"/>
    </row>
    <row r="93" spans="2:20" x14ac:dyDescent="0.3">
      <c r="B93" s="53" t="s">
        <v>252</v>
      </c>
      <c r="C93" s="44"/>
      <c r="D93" s="44"/>
      <c r="E93" s="42"/>
      <c r="F93" s="82">
        <f>SUM(F86:F92)</f>
        <v>0</v>
      </c>
      <c r="G93" s="82">
        <f>IFERROR($F93/Overview!$D$31,0)</f>
        <v>0</v>
      </c>
      <c r="H93" s="81">
        <f>IFERROR($F93/Overview!$D$30,0)</f>
        <v>0</v>
      </c>
      <c r="I93" s="123">
        <f t="shared" si="7"/>
        <v>0</v>
      </c>
    </row>
    <row r="94" spans="2:20" x14ac:dyDescent="0.3">
      <c r="B94" s="257"/>
      <c r="C94" s="55"/>
      <c r="D94" s="55"/>
      <c r="E94" s="56"/>
      <c r="F94" s="115"/>
      <c r="G94" s="115"/>
      <c r="H94" s="110"/>
      <c r="I94" s="124"/>
    </row>
    <row r="95" spans="2:20" x14ac:dyDescent="0.3">
      <c r="B95" s="54" t="s">
        <v>253</v>
      </c>
      <c r="C95" s="5"/>
      <c r="D95" s="5"/>
      <c r="E95" s="28"/>
      <c r="F95" s="76"/>
      <c r="G95" s="76"/>
      <c r="H95" s="93"/>
      <c r="I95" s="120"/>
    </row>
    <row r="96" spans="2:20" x14ac:dyDescent="0.3">
      <c r="B96" s="36" t="s">
        <v>254</v>
      </c>
      <c r="C96" s="5"/>
      <c r="D96" s="5"/>
      <c r="E96" s="28"/>
      <c r="F96" s="202">
        <v>0</v>
      </c>
      <c r="G96" s="76">
        <f>IFERROR($F96/Overview!$D$31,0)</f>
        <v>0</v>
      </c>
      <c r="H96" s="93">
        <f>IFERROR($F96/Overview!$D$30,0)</f>
        <v>0</v>
      </c>
      <c r="I96" s="120">
        <f t="shared" ref="I96:I105" si="8">IFERROR($F96/$F$118,0)</f>
        <v>0</v>
      </c>
    </row>
    <row r="97" spans="2:9" x14ac:dyDescent="0.3">
      <c r="B97" s="36" t="s">
        <v>255</v>
      </c>
      <c r="C97" s="5"/>
      <c r="D97" s="5"/>
      <c r="E97" s="28"/>
      <c r="F97" s="202">
        <v>0</v>
      </c>
      <c r="G97" s="76">
        <f>IFERROR($F97/Overview!$D$31,0)</f>
        <v>0</v>
      </c>
      <c r="H97" s="93">
        <f>IFERROR($F97/Overview!$D$30,0)</f>
        <v>0</v>
      </c>
      <c r="I97" s="120">
        <f t="shared" si="8"/>
        <v>0</v>
      </c>
    </row>
    <row r="98" spans="2:9" x14ac:dyDescent="0.3">
      <c r="B98" s="36" t="s">
        <v>256</v>
      </c>
      <c r="C98" s="5"/>
      <c r="D98" s="5"/>
      <c r="E98" s="28"/>
      <c r="F98" s="202">
        <v>0</v>
      </c>
      <c r="G98" s="76">
        <f>IFERROR($F98/Overview!$D$31,0)</f>
        <v>0</v>
      </c>
      <c r="H98" s="93">
        <f>IFERROR($F98/Overview!$D$30,0)</f>
        <v>0</v>
      </c>
      <c r="I98" s="120">
        <f t="shared" si="8"/>
        <v>0</v>
      </c>
    </row>
    <row r="99" spans="2:9" x14ac:dyDescent="0.3">
      <c r="B99" s="36" t="s">
        <v>257</v>
      </c>
      <c r="C99" s="5"/>
      <c r="D99" s="5"/>
      <c r="E99" s="28"/>
      <c r="F99" s="202">
        <v>0</v>
      </c>
      <c r="G99" s="76">
        <f>IFERROR($F99/Overview!$D$31,0)</f>
        <v>0</v>
      </c>
      <c r="H99" s="93">
        <f>IFERROR($F99/Overview!$D$30,0)</f>
        <v>0</v>
      </c>
      <c r="I99" s="120">
        <f t="shared" si="8"/>
        <v>0</v>
      </c>
    </row>
    <row r="100" spans="2:9" x14ac:dyDescent="0.3">
      <c r="B100" s="36" t="s">
        <v>258</v>
      </c>
      <c r="C100" s="5"/>
      <c r="D100" s="5"/>
      <c r="E100" s="28"/>
      <c r="F100" s="202">
        <v>0</v>
      </c>
      <c r="G100" s="76">
        <f>IFERROR($F100/Overview!$D$31,0)</f>
        <v>0</v>
      </c>
      <c r="H100" s="93">
        <f>IFERROR($F100/Overview!$D$30,0)</f>
        <v>0</v>
      </c>
      <c r="I100" s="120">
        <f t="shared" si="8"/>
        <v>0</v>
      </c>
    </row>
    <row r="101" spans="2:9" x14ac:dyDescent="0.3">
      <c r="B101" s="36" t="s">
        <v>259</v>
      </c>
      <c r="C101" s="5"/>
      <c r="D101" s="5"/>
      <c r="E101" s="28"/>
      <c r="F101" s="202">
        <v>0</v>
      </c>
      <c r="G101" s="76">
        <f>IFERROR($F101/Overview!$D$31,0)</f>
        <v>0</v>
      </c>
      <c r="H101" s="93">
        <f>IFERROR($F101/Overview!$D$30,0)</f>
        <v>0</v>
      </c>
      <c r="I101" s="120">
        <f t="shared" si="8"/>
        <v>0</v>
      </c>
    </row>
    <row r="102" spans="2:9" x14ac:dyDescent="0.3">
      <c r="B102" s="36" t="s">
        <v>260</v>
      </c>
      <c r="C102" s="5"/>
      <c r="D102" s="5"/>
      <c r="E102" s="28"/>
      <c r="F102" s="202">
        <v>0</v>
      </c>
      <c r="G102" s="76">
        <f>IFERROR($F102/Overview!$D$31,0)</f>
        <v>0</v>
      </c>
      <c r="H102" s="93">
        <f>IFERROR($F102/Overview!$D$30,0)</f>
        <v>0</v>
      </c>
      <c r="I102" s="120">
        <f t="shared" si="8"/>
        <v>0</v>
      </c>
    </row>
    <row r="103" spans="2:9" x14ac:dyDescent="0.3">
      <c r="B103" s="206" t="s">
        <v>261</v>
      </c>
      <c r="C103" s="207"/>
      <c r="D103" s="207"/>
      <c r="E103" s="189"/>
      <c r="F103" s="202">
        <v>0</v>
      </c>
      <c r="G103" s="76">
        <f>IFERROR($F103/Overview!$D$31,0)</f>
        <v>0</v>
      </c>
      <c r="H103" s="93">
        <f>IFERROR($F103/Overview!$D$30,0)</f>
        <v>0</v>
      </c>
      <c r="I103" s="120">
        <f t="shared" si="8"/>
        <v>0</v>
      </c>
    </row>
    <row r="104" spans="2:9" x14ac:dyDescent="0.3">
      <c r="B104" s="206" t="s">
        <v>261</v>
      </c>
      <c r="C104" s="207"/>
      <c r="D104" s="207"/>
      <c r="E104" s="189"/>
      <c r="F104" s="202">
        <v>0</v>
      </c>
      <c r="G104" s="76">
        <f>IFERROR($F104/Overview!$D$31,0)</f>
        <v>0</v>
      </c>
      <c r="H104" s="93">
        <f>IFERROR($F104/Overview!$D$30,0)</f>
        <v>0</v>
      </c>
      <c r="I104" s="120">
        <f t="shared" si="8"/>
        <v>0</v>
      </c>
    </row>
    <row r="105" spans="2:9" x14ac:dyDescent="0.3">
      <c r="B105" s="53" t="s">
        <v>262</v>
      </c>
      <c r="C105" s="44"/>
      <c r="D105" s="44"/>
      <c r="E105" s="42"/>
      <c r="F105" s="82">
        <f>SUM(F96:F104)</f>
        <v>0</v>
      </c>
      <c r="G105" s="82">
        <f>IFERROR($F105/Overview!$D$31,0)</f>
        <v>0</v>
      </c>
      <c r="H105" s="81">
        <f>IFERROR($F105/Overview!$D$30,0)</f>
        <v>0</v>
      </c>
      <c r="I105" s="123">
        <f t="shared" si="8"/>
        <v>0</v>
      </c>
    </row>
    <row r="106" spans="2:9" x14ac:dyDescent="0.3">
      <c r="B106" s="501"/>
      <c r="C106" s="5"/>
      <c r="D106" s="5"/>
      <c r="E106" s="28"/>
      <c r="F106" s="76"/>
      <c r="G106" s="76"/>
      <c r="H106" s="93"/>
      <c r="I106" s="120"/>
    </row>
    <row r="107" spans="2:9" x14ac:dyDescent="0.3">
      <c r="B107" s="54" t="s">
        <v>263</v>
      </c>
      <c r="C107" s="5"/>
      <c r="D107" s="5"/>
      <c r="E107" s="28"/>
      <c r="F107" s="76"/>
      <c r="G107" s="76"/>
      <c r="H107" s="93"/>
      <c r="I107" s="120"/>
    </row>
    <row r="108" spans="2:9" x14ac:dyDescent="0.3">
      <c r="B108" s="36" t="s">
        <v>264</v>
      </c>
      <c r="C108" s="5"/>
      <c r="D108" s="5"/>
      <c r="E108" s="28"/>
      <c r="F108" s="202">
        <v>0</v>
      </c>
      <c r="G108" s="76">
        <f>IFERROR($F108/Overview!$D$31,0)</f>
        <v>0</v>
      </c>
      <c r="H108" s="93">
        <f>IFERROR($F108/Overview!$D$30,0)</f>
        <v>0</v>
      </c>
      <c r="I108" s="120">
        <f>IFERROR($F108/$F$118,0)</f>
        <v>0</v>
      </c>
    </row>
    <row r="109" spans="2:9" x14ac:dyDescent="0.3">
      <c r="B109" s="206" t="s">
        <v>265</v>
      </c>
      <c r="C109" s="207"/>
      <c r="D109" s="207"/>
      <c r="E109" s="189"/>
      <c r="F109" s="202">
        <v>0</v>
      </c>
      <c r="G109" s="76">
        <f>IFERROR($F109/Overview!$D$31,0)</f>
        <v>0</v>
      </c>
      <c r="H109" s="93">
        <f>IFERROR($F109/Overview!$D$30,0)</f>
        <v>0</v>
      </c>
      <c r="I109" s="120">
        <f>IFERROR($F109/$F$118,0)</f>
        <v>0</v>
      </c>
    </row>
    <row r="110" spans="2:9" x14ac:dyDescent="0.3">
      <c r="B110" s="206" t="s">
        <v>266</v>
      </c>
      <c r="C110" s="207"/>
      <c r="D110" s="207"/>
      <c r="E110" s="189"/>
      <c r="F110" s="202">
        <v>0</v>
      </c>
      <c r="G110" s="76">
        <f>IFERROR($F110/Overview!$D$31,0)</f>
        <v>0</v>
      </c>
      <c r="H110" s="93">
        <f>IFERROR($F110/Overview!$D$30,0)</f>
        <v>0</v>
      </c>
      <c r="I110" s="120">
        <f>IFERROR($F110/$F$118,0)</f>
        <v>0</v>
      </c>
    </row>
    <row r="111" spans="2:9" x14ac:dyDescent="0.3">
      <c r="B111" s="206" t="s">
        <v>266</v>
      </c>
      <c r="C111" s="207"/>
      <c r="D111" s="207"/>
      <c r="E111" s="189"/>
      <c r="F111" s="202">
        <v>0</v>
      </c>
      <c r="G111" s="76">
        <f>IFERROR($F111/Overview!$D$31,0)</f>
        <v>0</v>
      </c>
      <c r="H111" s="93">
        <f>IFERROR($F111/Overview!$D$30,0)</f>
        <v>0</v>
      </c>
      <c r="I111" s="120">
        <f>IFERROR($F111/$F$118,0)</f>
        <v>0</v>
      </c>
    </row>
    <row r="112" spans="2:9" x14ac:dyDescent="0.3">
      <c r="B112" s="53" t="s">
        <v>267</v>
      </c>
      <c r="C112" s="44"/>
      <c r="D112" s="44"/>
      <c r="E112" s="42"/>
      <c r="F112" s="82">
        <f>SUM(F108:F111)</f>
        <v>0</v>
      </c>
      <c r="G112" s="82">
        <f>IFERROR($F112/Overview!$D$31,0)</f>
        <v>0</v>
      </c>
      <c r="H112" s="81">
        <f>IFERROR($F112/Overview!$D$30,0)</f>
        <v>0</v>
      </c>
      <c r="I112" s="123">
        <f>IFERROR($F112/$F$118,0)</f>
        <v>0</v>
      </c>
    </row>
    <row r="113" spans="2:9" x14ac:dyDescent="0.3">
      <c r="B113" s="257"/>
      <c r="C113" s="55"/>
      <c r="D113" s="55"/>
      <c r="E113" s="56"/>
      <c r="F113" s="115"/>
      <c r="G113" s="115"/>
      <c r="H113" s="110"/>
      <c r="I113" s="124"/>
    </row>
    <row r="114" spans="2:9" x14ac:dyDescent="0.3">
      <c r="B114" s="54" t="s">
        <v>268</v>
      </c>
      <c r="C114" s="55"/>
      <c r="D114" s="55"/>
      <c r="E114" s="56"/>
      <c r="F114" s="205">
        <v>0</v>
      </c>
      <c r="G114" s="115">
        <f>IFERROR($F114/Overview!$D$31,0)</f>
        <v>0</v>
      </c>
      <c r="H114" s="110">
        <f>IFERROR($F114/Overview!$D$30,0)</f>
        <v>0</v>
      </c>
      <c r="I114" s="124">
        <f>IFERROR($F114/$F$118,0)</f>
        <v>0</v>
      </c>
    </row>
    <row r="115" spans="2:9" x14ac:dyDescent="0.3">
      <c r="B115" s="501"/>
      <c r="C115" s="5"/>
      <c r="D115" s="5"/>
      <c r="E115" s="28"/>
      <c r="F115" s="76"/>
      <c r="G115" s="76"/>
      <c r="H115" s="93"/>
      <c r="I115" s="120"/>
    </row>
    <row r="116" spans="2:9" x14ac:dyDescent="0.3">
      <c r="B116" s="57" t="s">
        <v>269</v>
      </c>
      <c r="C116" s="51"/>
      <c r="D116" s="51"/>
      <c r="E116" s="52"/>
      <c r="F116" s="114">
        <f>SUM(F57,F66,F71,F83,F93,F105,F112,F114)</f>
        <v>0</v>
      </c>
      <c r="G116" s="114">
        <f>IFERROR($F116/Overview!$D$31,0)</f>
        <v>0</v>
      </c>
      <c r="H116" s="109">
        <f>IFERROR($F116/Overview!$D$30,0)</f>
        <v>0</v>
      </c>
      <c r="I116" s="121">
        <f>IFERROR($F116/$F$118,0)</f>
        <v>0</v>
      </c>
    </row>
    <row r="117" spans="2:9" x14ac:dyDescent="0.3">
      <c r="B117" s="501"/>
      <c r="C117" s="5"/>
      <c r="D117" s="5"/>
      <c r="E117" s="28"/>
      <c r="F117" s="76"/>
      <c r="G117" s="76"/>
      <c r="H117" s="93"/>
      <c r="I117" s="120"/>
    </row>
    <row r="118" spans="2:9" x14ac:dyDescent="0.3">
      <c r="B118" s="58" t="s">
        <v>270</v>
      </c>
      <c r="C118" s="33"/>
      <c r="D118" s="33"/>
      <c r="E118" s="59"/>
      <c r="F118" s="116">
        <f>SUM(F116,F46,F21)</f>
        <v>0</v>
      </c>
      <c r="G118" s="116">
        <f>IFERROR($F118/Overview!$D$31,0)</f>
        <v>0</v>
      </c>
      <c r="H118" s="111">
        <f>IFERROR($F118/Overview!$D$30,0)</f>
        <v>0</v>
      </c>
      <c r="I118" s="125">
        <f>IFERROR($F118/$F$118,0)</f>
        <v>0</v>
      </c>
    </row>
    <row r="119" spans="2:9" x14ac:dyDescent="0.3">
      <c r="B119" s="25"/>
      <c r="C119" s="26"/>
      <c r="D119" s="26"/>
      <c r="E119" s="30"/>
      <c r="F119" s="117"/>
      <c r="G119" s="117"/>
      <c r="H119" s="112"/>
      <c r="I119" s="126"/>
    </row>
    <row r="122" spans="2:9" x14ac:dyDescent="0.3">
      <c r="G122" s="5"/>
    </row>
    <row r="123" spans="2:9" x14ac:dyDescent="0.3">
      <c r="G123" s="3"/>
    </row>
    <row r="124" spans="2:9" x14ac:dyDescent="0.3">
      <c r="G124" s="3"/>
    </row>
    <row r="125" spans="2:9" ht="13.95" customHeight="1" x14ac:dyDescent="0.3">
      <c r="G125" s="3"/>
    </row>
    <row r="126" spans="2:9" ht="13.95" customHeight="1" x14ac:dyDescent="0.3">
      <c r="G126" s="5"/>
    </row>
    <row r="127" spans="2:9" ht="13.95" customHeight="1" x14ac:dyDescent="0.3">
      <c r="G127" s="5"/>
    </row>
    <row r="128" spans="2:9" x14ac:dyDescent="0.3">
      <c r="G128" s="5"/>
    </row>
    <row r="129" spans="7:7" x14ac:dyDescent="0.3">
      <c r="G129" s="5"/>
    </row>
    <row r="130" spans="7:7" x14ac:dyDescent="0.3">
      <c r="G130" s="5"/>
    </row>
    <row r="131" spans="7:7" x14ac:dyDescent="0.3">
      <c r="G131" s="5"/>
    </row>
    <row r="132" spans="7:7" x14ac:dyDescent="0.3">
      <c r="G132" s="5"/>
    </row>
    <row r="133" spans="7:7" x14ac:dyDescent="0.3">
      <c r="G133" s="5"/>
    </row>
    <row r="134" spans="7:7" x14ac:dyDescent="0.3">
      <c r="G134" s="5"/>
    </row>
    <row r="135" spans="7:7" x14ac:dyDescent="0.3">
      <c r="G135" s="5"/>
    </row>
    <row r="136" spans="7:7" x14ac:dyDescent="0.3">
      <c r="G136" s="5"/>
    </row>
    <row r="137" spans="7:7" x14ac:dyDescent="0.3">
      <c r="G137" s="5"/>
    </row>
    <row r="138" spans="7:7" x14ac:dyDescent="0.3">
      <c r="G138" s="5"/>
    </row>
    <row r="139" spans="7:7" x14ac:dyDescent="0.3">
      <c r="G139" s="5"/>
    </row>
    <row r="140" spans="7:7" x14ac:dyDescent="0.3">
      <c r="G140" s="5"/>
    </row>
  </sheetData>
  <protectedRanges>
    <protectedRange sqref="F18:F20 B20 F25:F31 B31 E35:E41 F42:F43 B43 F50:F56 B56 F60:F65 B65 F69:F70 B70 F74:F82 B82 F86:F92 B92 F96:F104 B103:B104 F108:F111 B109:B111 F114 K18:K24 M18:M31 K33:K34 M33:M34 K38:K44 M38:M49 K51:K52 M51:M52 L74:L75" name="FTHP GAHP"/>
  </protectedRanges>
  <mergeCells count="7">
    <mergeCell ref="B4:P10"/>
    <mergeCell ref="B16:E16"/>
    <mergeCell ref="K16:L16"/>
    <mergeCell ref="M64:M66"/>
    <mergeCell ref="O64:O66"/>
    <mergeCell ref="N64:N66"/>
    <mergeCell ref="K64:L6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3623-7F4B-41FE-8B0D-0A9712D2A006}">
  <dimension ref="B1:AW118"/>
  <sheetViews>
    <sheetView showGridLines="0" zoomScaleNormal="100" workbookViewId="0">
      <selection activeCell="F17" sqref="F17"/>
    </sheetView>
  </sheetViews>
  <sheetFormatPr defaultColWidth="15.6640625" defaultRowHeight="13.8" x14ac:dyDescent="0.3"/>
  <cols>
    <col min="1" max="1" width="2.6640625" style="1" customWidth="1"/>
    <col min="2" max="16384" width="15.6640625" style="1"/>
  </cols>
  <sheetData>
    <row r="1" spans="2:49" s="4" customFormat="1" ht="15.6" x14ac:dyDescent="0.3">
      <c r="B1" s="4" t="s">
        <v>0</v>
      </c>
    </row>
    <row r="2" spans="2:49" s="5" customFormat="1" ht="15" customHeight="1" x14ac:dyDescent="0.3">
      <c r="B2" s="5" t="s">
        <v>271</v>
      </c>
    </row>
    <row r="3" spans="2:49" s="5" customFormat="1" ht="15" customHeight="1" x14ac:dyDescent="0.3"/>
    <row r="4" spans="2:49" s="5" customFormat="1" ht="15" customHeight="1" x14ac:dyDescent="0.3">
      <c r="B4" s="559" t="s">
        <v>272</v>
      </c>
      <c r="C4" s="560"/>
      <c r="D4" s="560"/>
      <c r="E4" s="560"/>
      <c r="F4" s="560"/>
      <c r="G4" s="560"/>
      <c r="H4" s="560"/>
      <c r="I4" s="561"/>
      <c r="J4"/>
      <c r="K4"/>
      <c r="L4"/>
    </row>
    <row r="5" spans="2:49" s="5" customFormat="1" ht="15" customHeight="1" x14ac:dyDescent="0.3">
      <c r="B5" s="562"/>
      <c r="C5" s="563"/>
      <c r="D5" s="563"/>
      <c r="E5" s="563"/>
      <c r="F5" s="563"/>
      <c r="G5" s="563"/>
      <c r="H5" s="563"/>
      <c r="I5" s="564"/>
      <c r="J5"/>
      <c r="K5"/>
      <c r="L5"/>
    </row>
    <row r="6" spans="2:49" s="5" customFormat="1" ht="15" customHeight="1" x14ac:dyDescent="0.3">
      <c r="B6" s="562"/>
      <c r="C6" s="563"/>
      <c r="D6" s="563"/>
      <c r="E6" s="563"/>
      <c r="F6" s="563"/>
      <c r="G6" s="563"/>
      <c r="H6" s="563"/>
      <c r="I6" s="564"/>
      <c r="J6"/>
      <c r="K6"/>
      <c r="L6"/>
    </row>
    <row r="7" spans="2:49" s="5" customFormat="1" ht="15" customHeight="1" x14ac:dyDescent="0.3">
      <c r="B7" s="562"/>
      <c r="C7" s="563"/>
      <c r="D7" s="563"/>
      <c r="E7" s="563"/>
      <c r="F7" s="563"/>
      <c r="G7" s="563"/>
      <c r="H7" s="563"/>
      <c r="I7" s="564"/>
      <c r="J7"/>
      <c r="K7"/>
      <c r="L7"/>
    </row>
    <row r="8" spans="2:49" s="5" customFormat="1" ht="15" customHeight="1" x14ac:dyDescent="0.3">
      <c r="B8" s="562"/>
      <c r="C8" s="563"/>
      <c r="D8" s="563"/>
      <c r="E8" s="563"/>
      <c r="F8" s="563"/>
      <c r="G8" s="563"/>
      <c r="H8" s="563"/>
      <c r="I8" s="564"/>
      <c r="J8"/>
      <c r="K8"/>
      <c r="L8"/>
    </row>
    <row r="9" spans="2:49" s="5" customFormat="1" ht="15" customHeight="1" x14ac:dyDescent="0.3">
      <c r="B9" s="565"/>
      <c r="C9" s="566"/>
      <c r="D9" s="566"/>
      <c r="E9" s="566"/>
      <c r="F9" s="566"/>
      <c r="G9" s="566"/>
      <c r="H9" s="566"/>
      <c r="I9" s="567"/>
      <c r="J9"/>
      <c r="K9"/>
      <c r="L9"/>
    </row>
    <row r="10" spans="2:49" s="5" customFormat="1" ht="15" customHeight="1" x14ac:dyDescent="0.3">
      <c r="B10" s="60"/>
    </row>
    <row r="11" spans="2:49" s="5" customFormat="1" ht="15" customHeight="1" x14ac:dyDescent="0.3">
      <c r="B11" s="61" t="s">
        <v>3</v>
      </c>
      <c r="C11" s="194" t="s">
        <v>4</v>
      </c>
      <c r="D11" s="62" t="s">
        <v>5</v>
      </c>
      <c r="E11" s="63" t="s">
        <v>6</v>
      </c>
    </row>
    <row r="14" spans="2:49" x14ac:dyDescent="0.3">
      <c r="B14" s="32" t="s">
        <v>147</v>
      </c>
      <c r="C14" s="33"/>
      <c r="D14" s="33"/>
      <c r="E14" s="33"/>
      <c r="F14" s="33"/>
      <c r="G14" s="33"/>
      <c r="H14" s="33"/>
      <c r="I14" s="34"/>
      <c r="J14" s="5"/>
      <c r="K14" s="32" t="s">
        <v>22</v>
      </c>
      <c r="L14" s="33"/>
      <c r="M14" s="33"/>
      <c r="N14" s="33"/>
      <c r="O14" s="33"/>
      <c r="P14" s="33"/>
      <c r="Q14" s="33"/>
      <c r="R14" s="33"/>
      <c r="S14" s="34"/>
      <c r="T14" s="5"/>
      <c r="U14" s="32" t="s">
        <v>273</v>
      </c>
      <c r="V14" s="33"/>
      <c r="W14" s="33"/>
      <c r="X14" s="33"/>
      <c r="Y14" s="33"/>
      <c r="Z14" s="33"/>
      <c r="AA14" s="34"/>
      <c r="AB14" s="5"/>
      <c r="AC14" s="32" t="s">
        <v>274</v>
      </c>
      <c r="AD14" s="33"/>
      <c r="AE14" s="33"/>
      <c r="AF14" s="33"/>
      <c r="AG14" s="33"/>
      <c r="AH14" s="33"/>
      <c r="AI14" s="33"/>
      <c r="AJ14" s="33"/>
      <c r="AK14" s="33"/>
      <c r="AL14" s="33"/>
      <c r="AM14" s="33"/>
      <c r="AN14" s="33"/>
      <c r="AO14" s="33"/>
      <c r="AP14" s="33"/>
      <c r="AQ14" s="33"/>
      <c r="AR14" s="33"/>
      <c r="AS14" s="33"/>
      <c r="AT14" s="33"/>
      <c r="AU14" s="33"/>
      <c r="AV14" s="33"/>
      <c r="AW14" s="34"/>
    </row>
    <row r="15" spans="2:49" ht="27.6" x14ac:dyDescent="0.3">
      <c r="B15" s="618" t="s">
        <v>24</v>
      </c>
      <c r="C15" s="618"/>
      <c r="D15" s="618"/>
      <c r="E15" s="618"/>
      <c r="F15" s="548" t="s">
        <v>26</v>
      </c>
      <c r="G15" s="548" t="s">
        <v>27</v>
      </c>
      <c r="H15" s="548" t="s">
        <v>148</v>
      </c>
      <c r="I15" s="548" t="s">
        <v>28</v>
      </c>
      <c r="J15" s="5"/>
      <c r="K15" s="589" t="s">
        <v>24</v>
      </c>
      <c r="L15" s="619"/>
      <c r="M15" s="589" t="s">
        <v>275</v>
      </c>
      <c r="N15" s="619"/>
      <c r="O15" s="590"/>
      <c r="P15" s="543" t="s">
        <v>26</v>
      </c>
      <c r="Q15" s="548" t="s">
        <v>27</v>
      </c>
      <c r="R15" s="548" t="s">
        <v>148</v>
      </c>
      <c r="S15" s="548" t="s">
        <v>28</v>
      </c>
      <c r="T15" s="5"/>
      <c r="U15" s="589" t="s">
        <v>24</v>
      </c>
      <c r="V15" s="619"/>
      <c r="W15" s="590"/>
      <c r="X15" s="548" t="s">
        <v>26</v>
      </c>
      <c r="Y15" s="548" t="s">
        <v>27</v>
      </c>
      <c r="Z15" s="548" t="s">
        <v>148</v>
      </c>
      <c r="AA15" s="548" t="s">
        <v>28</v>
      </c>
      <c r="AB15" s="5"/>
      <c r="AC15" s="618" t="s">
        <v>24</v>
      </c>
      <c r="AD15" s="618"/>
      <c r="AE15" s="618"/>
      <c r="AF15" s="548" t="s">
        <v>276</v>
      </c>
      <c r="AG15" s="548" t="s">
        <v>277</v>
      </c>
      <c r="AH15" s="547" t="s">
        <v>278</v>
      </c>
      <c r="AI15" s="228">
        <v>1</v>
      </c>
      <c r="AJ15" s="228">
        <f t="shared" ref="AJ15:AW15" si="0">AI15+1</f>
        <v>2</v>
      </c>
      <c r="AK15" s="228">
        <f t="shared" si="0"/>
        <v>3</v>
      </c>
      <c r="AL15" s="228">
        <f t="shared" si="0"/>
        <v>4</v>
      </c>
      <c r="AM15" s="228">
        <f t="shared" si="0"/>
        <v>5</v>
      </c>
      <c r="AN15" s="228">
        <f t="shared" si="0"/>
        <v>6</v>
      </c>
      <c r="AO15" s="228">
        <f t="shared" si="0"/>
        <v>7</v>
      </c>
      <c r="AP15" s="228">
        <f t="shared" si="0"/>
        <v>8</v>
      </c>
      <c r="AQ15" s="228">
        <f t="shared" si="0"/>
        <v>9</v>
      </c>
      <c r="AR15" s="228">
        <f t="shared" si="0"/>
        <v>10</v>
      </c>
      <c r="AS15" s="228">
        <f t="shared" si="0"/>
        <v>11</v>
      </c>
      <c r="AT15" s="228">
        <f t="shared" si="0"/>
        <v>12</v>
      </c>
      <c r="AU15" s="228">
        <f t="shared" si="0"/>
        <v>13</v>
      </c>
      <c r="AV15" s="228">
        <f t="shared" si="0"/>
        <v>14</v>
      </c>
      <c r="AW15" s="228">
        <f t="shared" si="0"/>
        <v>15</v>
      </c>
    </row>
    <row r="16" spans="2:49" x14ac:dyDescent="0.3">
      <c r="B16" s="45" t="s">
        <v>70</v>
      </c>
      <c r="C16" s="46"/>
      <c r="D16" s="46"/>
      <c r="E16" s="47"/>
      <c r="F16" s="113"/>
      <c r="G16" s="113"/>
      <c r="H16" s="118"/>
      <c r="I16" s="119"/>
      <c r="J16" s="5"/>
      <c r="K16" s="135" t="s">
        <v>149</v>
      </c>
      <c r="L16" s="136"/>
      <c r="M16" s="137" t="s">
        <v>279</v>
      </c>
      <c r="N16" s="130" t="s">
        <v>280</v>
      </c>
      <c r="O16" s="138" t="s">
        <v>281</v>
      </c>
      <c r="P16" s="141"/>
      <c r="Q16" s="142"/>
      <c r="R16" s="118"/>
      <c r="S16" s="145"/>
      <c r="T16" s="5"/>
      <c r="U16" s="135" t="s">
        <v>282</v>
      </c>
      <c r="V16" s="136"/>
      <c r="W16" s="129"/>
      <c r="X16" s="142"/>
      <c r="Y16" s="142"/>
      <c r="Z16" s="118"/>
      <c r="AA16" s="158"/>
      <c r="AB16" s="5"/>
      <c r="AC16" s="135" t="str">
        <f t="shared" ref="AC16:AC54" si="1">IF(U16=0,"",U16)</f>
        <v>Revenue</v>
      </c>
      <c r="AD16" s="136"/>
      <c r="AE16" s="136"/>
      <c r="AF16" s="131"/>
      <c r="AG16" s="131"/>
      <c r="AH16" s="131"/>
      <c r="AI16" s="131"/>
      <c r="AJ16" s="131"/>
      <c r="AK16" s="131"/>
      <c r="AL16" s="131"/>
      <c r="AM16" s="131"/>
      <c r="AN16" s="131"/>
      <c r="AO16" s="131"/>
      <c r="AP16" s="131"/>
      <c r="AQ16" s="131"/>
      <c r="AR16" s="131"/>
      <c r="AS16" s="131"/>
      <c r="AT16" s="131"/>
      <c r="AU16" s="131"/>
      <c r="AV16" s="131"/>
      <c r="AW16" s="132"/>
    </row>
    <row r="17" spans="2:49" x14ac:dyDescent="0.3">
      <c r="B17" s="501" t="s">
        <v>150</v>
      </c>
      <c r="C17" s="5"/>
      <c r="D17" s="5"/>
      <c r="E17" s="28"/>
      <c r="F17" s="202">
        <v>0</v>
      </c>
      <c r="G17" s="76">
        <f>IFERROR($F17/Overview!$D$31,0)</f>
        <v>0</v>
      </c>
      <c r="H17" s="93">
        <f>IFERROR($F17/Overview!$D$30,0)</f>
        <v>0</v>
      </c>
      <c r="I17" s="120">
        <f>IFERROR($F17/$F$117,0)</f>
        <v>0</v>
      </c>
      <c r="J17" s="5"/>
      <c r="K17" s="188" t="s">
        <v>151</v>
      </c>
      <c r="L17" s="208"/>
      <c r="M17" s="210" t="s">
        <v>139</v>
      </c>
      <c r="N17" s="211" t="s">
        <v>139</v>
      </c>
      <c r="O17" s="212" t="s">
        <v>139</v>
      </c>
      <c r="P17" s="213">
        <v>0</v>
      </c>
      <c r="Q17" s="76">
        <f>IFERROR($P17/Overview!$D$31,0)</f>
        <v>0</v>
      </c>
      <c r="R17" s="93">
        <f>IFERROR($P17/Overview!$D$30,0)</f>
        <v>0</v>
      </c>
      <c r="S17" s="120">
        <f>IFERROR($P17/$P$58,0)</f>
        <v>0</v>
      </c>
      <c r="T17" s="5"/>
      <c r="U17" s="501" t="s">
        <v>283</v>
      </c>
      <c r="V17" s="5"/>
      <c r="W17" s="28"/>
      <c r="X17" s="76">
        <f ca="1">'Unit Summary - Rent Roll'!$AE$127</f>
        <v>0</v>
      </c>
      <c r="Y17" s="76">
        <f ca="1">IFERROR($X17/Overview!$D$31,0)</f>
        <v>0</v>
      </c>
      <c r="Z17" s="93">
        <f ca="1">IFERROR($X17/Overview!$D$30,0)</f>
        <v>0</v>
      </c>
      <c r="AA17" s="120">
        <f ca="1">IFERROR($X17/$X$20,0)</f>
        <v>0</v>
      </c>
      <c r="AB17" s="5"/>
      <c r="AC17" s="501" t="str">
        <f t="shared" si="1"/>
        <v>Assumed Annual Residential Revenue</v>
      </c>
      <c r="AD17" s="5"/>
      <c r="AE17" s="5"/>
      <c r="AF17" s="229">
        <v>0</v>
      </c>
      <c r="AG17" s="229">
        <v>0</v>
      </c>
      <c r="AH17" s="253"/>
      <c r="AI17" s="76">
        <f ca="1">X17</f>
        <v>0</v>
      </c>
      <c r="AJ17" s="76">
        <f ca="1">IF(AJ$15&lt;$AH17,AI17*(1+$AF17),AI17*(1+$AG17))</f>
        <v>0</v>
      </c>
      <c r="AK17" s="76">
        <f t="shared" ref="AK17:AW17" ca="1" si="2">IF(AK$15&lt;$AH17,AJ17*(1+$AF17),AJ17*(1+$AG17))</f>
        <v>0</v>
      </c>
      <c r="AL17" s="76">
        <f t="shared" ca="1" si="2"/>
        <v>0</v>
      </c>
      <c r="AM17" s="76">
        <f t="shared" ca="1" si="2"/>
        <v>0</v>
      </c>
      <c r="AN17" s="76">
        <f t="shared" ca="1" si="2"/>
        <v>0</v>
      </c>
      <c r="AO17" s="76">
        <f t="shared" ca="1" si="2"/>
        <v>0</v>
      </c>
      <c r="AP17" s="76">
        <f t="shared" ca="1" si="2"/>
        <v>0</v>
      </c>
      <c r="AQ17" s="76">
        <f t="shared" ca="1" si="2"/>
        <v>0</v>
      </c>
      <c r="AR17" s="76">
        <f t="shared" ca="1" si="2"/>
        <v>0</v>
      </c>
      <c r="AS17" s="76">
        <f t="shared" ca="1" si="2"/>
        <v>0</v>
      </c>
      <c r="AT17" s="76">
        <f t="shared" ca="1" si="2"/>
        <v>0</v>
      </c>
      <c r="AU17" s="76">
        <f t="shared" ca="1" si="2"/>
        <v>0</v>
      </c>
      <c r="AV17" s="76">
        <f t="shared" ca="1" si="2"/>
        <v>0</v>
      </c>
      <c r="AW17" s="89">
        <f t="shared" ca="1" si="2"/>
        <v>0</v>
      </c>
    </row>
    <row r="18" spans="2:49" x14ac:dyDescent="0.3">
      <c r="B18" s="501" t="s">
        <v>152</v>
      </c>
      <c r="C18" s="5"/>
      <c r="D18" s="5"/>
      <c r="E18" s="28"/>
      <c r="F18" s="202">
        <v>0</v>
      </c>
      <c r="G18" s="76">
        <f>IFERROR($F18/Overview!$D$31,0)</f>
        <v>0</v>
      </c>
      <c r="H18" s="93">
        <f>IFERROR($F18/Overview!$D$30,0)</f>
        <v>0</v>
      </c>
      <c r="I18" s="120">
        <f>IFERROR($F18/$F$117,0)</f>
        <v>0</v>
      </c>
      <c r="J18" s="5"/>
      <c r="K18" s="188" t="s">
        <v>153</v>
      </c>
      <c r="L18" s="209"/>
      <c r="M18" s="210" t="s">
        <v>139</v>
      </c>
      <c r="N18" s="211" t="s">
        <v>139</v>
      </c>
      <c r="O18" s="212" t="s">
        <v>139</v>
      </c>
      <c r="P18" s="213">
        <v>0</v>
      </c>
      <c r="Q18" s="76">
        <f>IFERROR($P18/Overview!$D$31,0)</f>
        <v>0</v>
      </c>
      <c r="R18" s="93">
        <f>IFERROR($P18/Overview!$D$30,0)</f>
        <v>0</v>
      </c>
      <c r="S18" s="120">
        <f t="shared" ref="S18:S34" si="3">IFERROR($P18/$P$58,0)</f>
        <v>0</v>
      </c>
      <c r="T18" s="5"/>
      <c r="U18" s="501" t="s">
        <v>284</v>
      </c>
      <c r="V18" s="5"/>
      <c r="W18" s="28"/>
      <c r="X18" s="202">
        <v>0</v>
      </c>
      <c r="Y18" s="76">
        <f>IFERROR($X18/Overview!$D$31,0)</f>
        <v>0</v>
      </c>
      <c r="Z18" s="93">
        <f>IFERROR($X18/Overview!$D$30,0)</f>
        <v>0</v>
      </c>
      <c r="AA18" s="120">
        <f ca="1">IFERROR($X18/$X$20,0)</f>
        <v>0</v>
      </c>
      <c r="AB18" s="5"/>
      <c r="AC18" s="501" t="str">
        <f t="shared" si="1"/>
        <v>Assumed Annual Commercial Revenue</v>
      </c>
      <c r="AD18" s="5"/>
      <c r="AE18" s="5"/>
      <c r="AF18" s="229">
        <v>0</v>
      </c>
      <c r="AG18" s="229">
        <v>0</v>
      </c>
      <c r="AH18" s="253"/>
      <c r="AI18" s="76">
        <f>X18</f>
        <v>0</v>
      </c>
      <c r="AJ18" s="76">
        <f t="shared" ref="AJ18:AW18" si="4">IF(AJ$15&lt;$AH18,AI18*(1+$AF18),AI18*(1+$AG18))</f>
        <v>0</v>
      </c>
      <c r="AK18" s="76">
        <f t="shared" si="4"/>
        <v>0</v>
      </c>
      <c r="AL18" s="76">
        <f t="shared" si="4"/>
        <v>0</v>
      </c>
      <c r="AM18" s="76">
        <f t="shared" si="4"/>
        <v>0</v>
      </c>
      <c r="AN18" s="76">
        <f t="shared" si="4"/>
        <v>0</v>
      </c>
      <c r="AO18" s="76">
        <f t="shared" si="4"/>
        <v>0</v>
      </c>
      <c r="AP18" s="76">
        <f t="shared" si="4"/>
        <v>0</v>
      </c>
      <c r="AQ18" s="76">
        <f t="shared" si="4"/>
        <v>0</v>
      </c>
      <c r="AR18" s="76">
        <f t="shared" si="4"/>
        <v>0</v>
      </c>
      <c r="AS18" s="76">
        <f t="shared" si="4"/>
        <v>0</v>
      </c>
      <c r="AT18" s="76">
        <f t="shared" si="4"/>
        <v>0</v>
      </c>
      <c r="AU18" s="76">
        <f t="shared" si="4"/>
        <v>0</v>
      </c>
      <c r="AV18" s="76">
        <f t="shared" si="4"/>
        <v>0</v>
      </c>
      <c r="AW18" s="89">
        <f t="shared" si="4"/>
        <v>0</v>
      </c>
    </row>
    <row r="19" spans="2:49" x14ac:dyDescent="0.3">
      <c r="B19" s="188" t="s">
        <v>154</v>
      </c>
      <c r="C19" s="207"/>
      <c r="D19" s="207"/>
      <c r="E19" s="189"/>
      <c r="F19" s="202">
        <v>0</v>
      </c>
      <c r="G19" s="76">
        <f>IFERROR($F19/Overview!$D$31,0)</f>
        <v>0</v>
      </c>
      <c r="H19" s="93">
        <f>IFERROR($F19/Overview!$D$30,0)</f>
        <v>0</v>
      </c>
      <c r="I19" s="120">
        <f>IFERROR($F19/$F$117,0)</f>
        <v>0</v>
      </c>
      <c r="J19" s="5"/>
      <c r="K19" s="188" t="s">
        <v>155</v>
      </c>
      <c r="L19" s="209"/>
      <c r="M19" s="210" t="s">
        <v>139</v>
      </c>
      <c r="N19" s="211" t="s">
        <v>139</v>
      </c>
      <c r="O19" s="212" t="s">
        <v>139</v>
      </c>
      <c r="P19" s="213">
        <v>0</v>
      </c>
      <c r="Q19" s="76">
        <f>IFERROR($P19/Overview!$D$31,0)</f>
        <v>0</v>
      </c>
      <c r="R19" s="93">
        <f>IFERROR($P19/Overview!$D$30,0)</f>
        <v>0</v>
      </c>
      <c r="S19" s="120">
        <f t="shared" si="3"/>
        <v>0</v>
      </c>
      <c r="T19" s="5"/>
      <c r="U19" s="501" t="s">
        <v>285</v>
      </c>
      <c r="V19" s="5"/>
      <c r="W19" s="28"/>
      <c r="X19" s="202">
        <v>0</v>
      </c>
      <c r="Y19" s="76">
        <f>IFERROR($X19/Overview!$D$31,0)</f>
        <v>0</v>
      </c>
      <c r="Z19" s="93">
        <f>IFERROR($X19/Overview!$D$30,0)</f>
        <v>0</v>
      </c>
      <c r="AA19" s="120">
        <f ca="1">IFERROR($X19/$X$20,0)</f>
        <v>0</v>
      </c>
      <c r="AB19" s="5"/>
      <c r="AC19" s="501" t="str">
        <f t="shared" si="1"/>
        <v>Other Revenue</v>
      </c>
      <c r="AD19" s="5"/>
      <c r="AE19" s="5"/>
      <c r="AF19" s="229">
        <v>0</v>
      </c>
      <c r="AG19" s="229">
        <v>0</v>
      </c>
      <c r="AH19" s="253"/>
      <c r="AI19" s="76">
        <f>X19</f>
        <v>0</v>
      </c>
      <c r="AJ19" s="76">
        <f t="shared" ref="AJ19:AW19" si="5">IF(AJ$15&lt;$AH19,AI19*(1+$AF19),AI19*(1+$AG19))</f>
        <v>0</v>
      </c>
      <c r="AK19" s="76">
        <f t="shared" si="5"/>
        <v>0</v>
      </c>
      <c r="AL19" s="76">
        <f t="shared" si="5"/>
        <v>0</v>
      </c>
      <c r="AM19" s="76">
        <f t="shared" si="5"/>
        <v>0</v>
      </c>
      <c r="AN19" s="76">
        <f t="shared" si="5"/>
        <v>0</v>
      </c>
      <c r="AO19" s="76">
        <f t="shared" si="5"/>
        <v>0</v>
      </c>
      <c r="AP19" s="76">
        <f t="shared" si="5"/>
        <v>0</v>
      </c>
      <c r="AQ19" s="76">
        <f t="shared" si="5"/>
        <v>0</v>
      </c>
      <c r="AR19" s="76">
        <f t="shared" si="5"/>
        <v>0</v>
      </c>
      <c r="AS19" s="76">
        <f t="shared" si="5"/>
        <v>0</v>
      </c>
      <c r="AT19" s="76">
        <f t="shared" si="5"/>
        <v>0</v>
      </c>
      <c r="AU19" s="76">
        <f t="shared" si="5"/>
        <v>0</v>
      </c>
      <c r="AV19" s="76">
        <f t="shared" si="5"/>
        <v>0</v>
      </c>
      <c r="AW19" s="89">
        <f t="shared" si="5"/>
        <v>0</v>
      </c>
    </row>
    <row r="20" spans="2:49" x14ac:dyDescent="0.3">
      <c r="B20" s="50" t="s">
        <v>156</v>
      </c>
      <c r="C20" s="51"/>
      <c r="D20" s="51"/>
      <c r="E20" s="52"/>
      <c r="F20" s="114">
        <f>SUM(F17:F19)</f>
        <v>0</v>
      </c>
      <c r="G20" s="114">
        <f>IFERROR($F20/Overview!$D$31,0)</f>
        <v>0</v>
      </c>
      <c r="H20" s="109">
        <f>IFERROR($F20/Overview!$D$30,0)</f>
        <v>0</v>
      </c>
      <c r="I20" s="121">
        <f>IFERROR($F20/$F$117,0)</f>
        <v>0</v>
      </c>
      <c r="J20" s="5"/>
      <c r="K20" s="188" t="s">
        <v>157</v>
      </c>
      <c r="L20" s="209"/>
      <c r="M20" s="210" t="s">
        <v>139</v>
      </c>
      <c r="N20" s="211" t="s">
        <v>139</v>
      </c>
      <c r="O20" s="212" t="s">
        <v>139</v>
      </c>
      <c r="P20" s="213">
        <v>0</v>
      </c>
      <c r="Q20" s="76">
        <f>IFERROR($P20/Overview!$D$31,0)</f>
        <v>0</v>
      </c>
      <c r="R20" s="93">
        <f>IFERROR($P20/Overview!$D$30,0)</f>
        <v>0</v>
      </c>
      <c r="S20" s="120">
        <f t="shared" si="3"/>
        <v>0</v>
      </c>
      <c r="T20" s="5"/>
      <c r="U20" s="41" t="s">
        <v>286</v>
      </c>
      <c r="V20" s="44"/>
      <c r="W20" s="42"/>
      <c r="X20" s="82">
        <f ca="1">SUM(X17:X19)</f>
        <v>0</v>
      </c>
      <c r="Y20" s="82">
        <f ca="1">IFERROR($X20/Overview!$D$31,0)</f>
        <v>0</v>
      </c>
      <c r="Z20" s="81">
        <f ca="1">IFERROR($X20/Overview!$D$30,0)</f>
        <v>0</v>
      </c>
      <c r="AA20" s="123">
        <f ca="1">IFERROR($X20/$X$20,0)</f>
        <v>0</v>
      </c>
      <c r="AB20" s="5"/>
      <c r="AC20" s="41" t="str">
        <f t="shared" si="1"/>
        <v>Gross Revenue</v>
      </c>
      <c r="AD20" s="44"/>
      <c r="AE20" s="44"/>
      <c r="AF20" s="233"/>
      <c r="AG20" s="233"/>
      <c r="AH20" s="233"/>
      <c r="AI20" s="82">
        <f t="shared" ref="AI20:AW20" ca="1" si="6">SUM(AI17:AI19)</f>
        <v>0</v>
      </c>
      <c r="AJ20" s="82">
        <f t="shared" ca="1" si="6"/>
        <v>0</v>
      </c>
      <c r="AK20" s="82">
        <f t="shared" ca="1" si="6"/>
        <v>0</v>
      </c>
      <c r="AL20" s="82">
        <f t="shared" ca="1" si="6"/>
        <v>0</v>
      </c>
      <c r="AM20" s="82">
        <f t="shared" ca="1" si="6"/>
        <v>0</v>
      </c>
      <c r="AN20" s="82">
        <f t="shared" ca="1" si="6"/>
        <v>0</v>
      </c>
      <c r="AO20" s="82">
        <f t="shared" ca="1" si="6"/>
        <v>0</v>
      </c>
      <c r="AP20" s="82">
        <f t="shared" ca="1" si="6"/>
        <v>0</v>
      </c>
      <c r="AQ20" s="82">
        <f t="shared" ca="1" si="6"/>
        <v>0</v>
      </c>
      <c r="AR20" s="82">
        <f t="shared" ca="1" si="6"/>
        <v>0</v>
      </c>
      <c r="AS20" s="82">
        <f t="shared" ca="1" si="6"/>
        <v>0</v>
      </c>
      <c r="AT20" s="82">
        <f t="shared" ca="1" si="6"/>
        <v>0</v>
      </c>
      <c r="AU20" s="82">
        <f t="shared" ca="1" si="6"/>
        <v>0</v>
      </c>
      <c r="AV20" s="82">
        <f t="shared" ca="1" si="6"/>
        <v>0</v>
      </c>
      <c r="AW20" s="90">
        <f t="shared" ca="1" si="6"/>
        <v>0</v>
      </c>
    </row>
    <row r="21" spans="2:49" x14ac:dyDescent="0.3">
      <c r="B21" s="501"/>
      <c r="C21" s="5"/>
      <c r="D21" s="5"/>
      <c r="E21" s="28"/>
      <c r="F21" s="76"/>
      <c r="G21" s="76"/>
      <c r="H21" s="93"/>
      <c r="I21" s="120"/>
      <c r="J21" s="5"/>
      <c r="K21" s="188" t="s">
        <v>158</v>
      </c>
      <c r="L21" s="209"/>
      <c r="M21" s="146"/>
      <c r="N21" s="147"/>
      <c r="O21" s="148"/>
      <c r="P21" s="213">
        <v>0</v>
      </c>
      <c r="Q21" s="76">
        <f>IFERROR($P21/Overview!$D$31,0)</f>
        <v>0</v>
      </c>
      <c r="R21" s="93">
        <f>IFERROR($P21/Overview!$D$30,0)</f>
        <v>0</v>
      </c>
      <c r="S21" s="120">
        <f t="shared" si="3"/>
        <v>0</v>
      </c>
      <c r="T21" s="5"/>
      <c r="U21" s="104"/>
      <c r="V21" s="5"/>
      <c r="W21" s="28"/>
      <c r="X21" s="76"/>
      <c r="Y21" s="76"/>
      <c r="Z21" s="93"/>
      <c r="AA21" s="120"/>
      <c r="AB21" s="5"/>
      <c r="AC21" s="104" t="str">
        <f t="shared" si="1"/>
        <v/>
      </c>
      <c r="AD21" s="5"/>
      <c r="AE21" s="5"/>
      <c r="AF21" s="35"/>
      <c r="AG21" s="35"/>
      <c r="AH21" s="35"/>
      <c r="AI21" s="35"/>
      <c r="AJ21" s="35"/>
      <c r="AK21" s="35"/>
      <c r="AL21" s="35"/>
      <c r="AM21" s="35"/>
      <c r="AN21" s="35"/>
      <c r="AO21" s="35"/>
      <c r="AP21" s="35"/>
      <c r="AQ21" s="35"/>
      <c r="AR21" s="35"/>
      <c r="AS21" s="35"/>
      <c r="AT21" s="35"/>
      <c r="AU21" s="35"/>
      <c r="AV21" s="35"/>
      <c r="AW21" s="29"/>
    </row>
    <row r="22" spans="2:49" x14ac:dyDescent="0.3">
      <c r="B22" s="45" t="s">
        <v>72</v>
      </c>
      <c r="C22" s="46"/>
      <c r="D22" s="46"/>
      <c r="E22" s="47"/>
      <c r="F22" s="113"/>
      <c r="G22" s="113"/>
      <c r="H22" s="108"/>
      <c r="I22" s="122"/>
      <c r="J22" s="5"/>
      <c r="K22" s="188" t="s">
        <v>159</v>
      </c>
      <c r="L22" s="209"/>
      <c r="M22" s="146"/>
      <c r="N22" s="147"/>
      <c r="O22" s="148"/>
      <c r="P22" s="213">
        <v>0</v>
      </c>
      <c r="Q22" s="76">
        <f>IFERROR($P22/Overview!$D$31,0)</f>
        <v>0</v>
      </c>
      <c r="R22" s="93">
        <f>IFERROR($P22/Overview!$D$30,0)</f>
        <v>0</v>
      </c>
      <c r="S22" s="120">
        <f t="shared" si="3"/>
        <v>0</v>
      </c>
      <c r="T22" s="5"/>
      <c r="U22" s="45" t="s">
        <v>287</v>
      </c>
      <c r="V22" s="46"/>
      <c r="W22" s="47"/>
      <c r="X22" s="113"/>
      <c r="Y22" s="113"/>
      <c r="Z22" s="108"/>
      <c r="AA22" s="122"/>
      <c r="AB22" s="5"/>
      <c r="AC22" s="45" t="str">
        <f t="shared" si="1"/>
        <v>Operating Expenses</v>
      </c>
      <c r="AD22" s="46"/>
      <c r="AE22" s="46"/>
      <c r="AF22" s="48"/>
      <c r="AG22" s="48"/>
      <c r="AH22" s="48"/>
      <c r="AI22" s="48"/>
      <c r="AJ22" s="48"/>
      <c r="AK22" s="48"/>
      <c r="AL22" s="48"/>
      <c r="AM22" s="48"/>
      <c r="AN22" s="48"/>
      <c r="AO22" s="48"/>
      <c r="AP22" s="48"/>
      <c r="AQ22" s="48"/>
      <c r="AR22" s="48"/>
      <c r="AS22" s="48"/>
      <c r="AT22" s="48"/>
      <c r="AU22" s="48"/>
      <c r="AV22" s="48"/>
      <c r="AW22" s="49"/>
    </row>
    <row r="23" spans="2:49" x14ac:dyDescent="0.3">
      <c r="B23" s="54" t="s">
        <v>160</v>
      </c>
      <c r="C23" s="5"/>
      <c r="D23" s="5"/>
      <c r="E23" s="28"/>
      <c r="F23" s="127"/>
      <c r="G23" s="76"/>
      <c r="H23" s="93"/>
      <c r="I23" s="120"/>
      <c r="J23" s="5"/>
      <c r="K23" s="188" t="s">
        <v>161</v>
      </c>
      <c r="L23" s="209"/>
      <c r="M23" s="146"/>
      <c r="N23" s="147"/>
      <c r="O23" s="148"/>
      <c r="P23" s="213">
        <v>0</v>
      </c>
      <c r="Q23" s="76">
        <f>IFERROR($P23/Overview!$D$31,0)</f>
        <v>0</v>
      </c>
      <c r="R23" s="93">
        <f>IFERROR($P23/Overview!$D$30,0)</f>
        <v>0</v>
      </c>
      <c r="S23" s="120">
        <f t="shared" si="3"/>
        <v>0</v>
      </c>
      <c r="T23" s="5"/>
      <c r="U23" s="501" t="s">
        <v>288</v>
      </c>
      <c r="V23" s="5"/>
      <c r="W23" s="216">
        <v>0</v>
      </c>
      <c r="X23" s="76">
        <f ca="1">$W23*$X$20</f>
        <v>0</v>
      </c>
      <c r="Y23" s="76">
        <f ca="1">IFERROR($X23/Overview!$D$31,0)</f>
        <v>0</v>
      </c>
      <c r="Z23" s="93">
        <f ca="1">IFERROR($X23/Overview!$D$30,0)</f>
        <v>0</v>
      </c>
      <c r="AA23" s="120">
        <f t="shared" ref="AA23:AA40" ca="1" si="7">IFERROR($X23/$X$20,0)</f>
        <v>0</v>
      </c>
      <c r="AB23" s="5"/>
      <c r="AC23" s="501" t="str">
        <f t="shared" si="1"/>
        <v>Vacancy &amp; Credit Loss</v>
      </c>
      <c r="AD23" s="5"/>
      <c r="AE23" s="5"/>
      <c r="AF23" s="230"/>
      <c r="AG23" s="230"/>
      <c r="AH23" s="230"/>
      <c r="AI23" s="76">
        <f t="shared" ref="AI23:AW23" ca="1" si="8">$W$23*AI20</f>
        <v>0</v>
      </c>
      <c r="AJ23" s="76">
        <f t="shared" ca="1" si="8"/>
        <v>0</v>
      </c>
      <c r="AK23" s="76">
        <f t="shared" ca="1" si="8"/>
        <v>0</v>
      </c>
      <c r="AL23" s="76">
        <f t="shared" ca="1" si="8"/>
        <v>0</v>
      </c>
      <c r="AM23" s="76">
        <f t="shared" ca="1" si="8"/>
        <v>0</v>
      </c>
      <c r="AN23" s="76">
        <f t="shared" ca="1" si="8"/>
        <v>0</v>
      </c>
      <c r="AO23" s="76">
        <f t="shared" ca="1" si="8"/>
        <v>0</v>
      </c>
      <c r="AP23" s="76">
        <f t="shared" ca="1" si="8"/>
        <v>0</v>
      </c>
      <c r="AQ23" s="76">
        <f t="shared" ca="1" si="8"/>
        <v>0</v>
      </c>
      <c r="AR23" s="76">
        <f t="shared" ca="1" si="8"/>
        <v>0</v>
      </c>
      <c r="AS23" s="76">
        <f t="shared" ca="1" si="8"/>
        <v>0</v>
      </c>
      <c r="AT23" s="76">
        <f t="shared" ca="1" si="8"/>
        <v>0</v>
      </c>
      <c r="AU23" s="76">
        <f t="shared" ca="1" si="8"/>
        <v>0</v>
      </c>
      <c r="AV23" s="76">
        <f t="shared" ca="1" si="8"/>
        <v>0</v>
      </c>
      <c r="AW23" s="89">
        <f t="shared" ca="1" si="8"/>
        <v>0</v>
      </c>
    </row>
    <row r="24" spans="2:49" x14ac:dyDescent="0.3">
      <c r="B24" s="36" t="s">
        <v>162</v>
      </c>
      <c r="C24" s="5"/>
      <c r="D24" s="5"/>
      <c r="E24" s="28"/>
      <c r="F24" s="202">
        <v>0</v>
      </c>
      <c r="G24" s="76">
        <f>IFERROR($F24/Overview!$D$31,0)</f>
        <v>0</v>
      </c>
      <c r="H24" s="93">
        <f>IFERROR($F24/Overview!$D$30,0)</f>
        <v>0</v>
      </c>
      <c r="I24" s="120">
        <f t="shared" ref="I24:I31" si="9">IFERROR($F24/$F$117,0)</f>
        <v>0</v>
      </c>
      <c r="J24" s="5"/>
      <c r="K24" s="501" t="s">
        <v>163</v>
      </c>
      <c r="L24" s="502"/>
      <c r="M24" s="149"/>
      <c r="N24" s="150"/>
      <c r="O24" s="148"/>
      <c r="P24" s="213">
        <v>0</v>
      </c>
      <c r="Q24" s="76">
        <f>IFERROR($P24/Overview!$D$31,0)</f>
        <v>0</v>
      </c>
      <c r="R24" s="93">
        <f>IFERROR($P24/Overview!$D$30,0)</f>
        <v>0</v>
      </c>
      <c r="S24" s="120">
        <f t="shared" si="3"/>
        <v>0</v>
      </c>
      <c r="T24" s="5"/>
      <c r="U24" s="501" t="s">
        <v>289</v>
      </c>
      <c r="V24" s="5"/>
      <c r="W24" s="28"/>
      <c r="X24" s="202">
        <f>1000*Overview!$D$31</f>
        <v>0</v>
      </c>
      <c r="Y24" s="76">
        <f>IFERROR($X24/Overview!$D$31,0)</f>
        <v>0</v>
      </c>
      <c r="Z24" s="93">
        <f>IFERROR($X24/Overview!$D$30,0)</f>
        <v>0</v>
      </c>
      <c r="AA24" s="120">
        <f t="shared" ca="1" si="7"/>
        <v>0</v>
      </c>
      <c r="AB24" s="5"/>
      <c r="AC24" s="501" t="str">
        <f t="shared" si="1"/>
        <v>Administration / Payroll</v>
      </c>
      <c r="AD24" s="5"/>
      <c r="AE24" s="5"/>
      <c r="AF24" s="229">
        <v>0</v>
      </c>
      <c r="AG24" s="229">
        <v>0</v>
      </c>
      <c r="AH24" s="253"/>
      <c r="AI24" s="76">
        <f t="shared" ref="AI24:AI38" si="10">X24</f>
        <v>0</v>
      </c>
      <c r="AJ24" s="76">
        <f t="shared" ref="AJ24:AW24" si="11">IF(AJ$15&lt;$AH24,AI24*(1+$AF24),AI24*(1+$AG24))</f>
        <v>0</v>
      </c>
      <c r="AK24" s="76">
        <f t="shared" si="11"/>
        <v>0</v>
      </c>
      <c r="AL24" s="76">
        <f t="shared" si="11"/>
        <v>0</v>
      </c>
      <c r="AM24" s="76">
        <f t="shared" si="11"/>
        <v>0</v>
      </c>
      <c r="AN24" s="76">
        <f t="shared" si="11"/>
        <v>0</v>
      </c>
      <c r="AO24" s="76">
        <f t="shared" si="11"/>
        <v>0</v>
      </c>
      <c r="AP24" s="76">
        <f t="shared" si="11"/>
        <v>0</v>
      </c>
      <c r="AQ24" s="76">
        <f t="shared" si="11"/>
        <v>0</v>
      </c>
      <c r="AR24" s="76">
        <f t="shared" si="11"/>
        <v>0</v>
      </c>
      <c r="AS24" s="76">
        <f t="shared" si="11"/>
        <v>0</v>
      </c>
      <c r="AT24" s="76">
        <f t="shared" si="11"/>
        <v>0</v>
      </c>
      <c r="AU24" s="76">
        <f t="shared" si="11"/>
        <v>0</v>
      </c>
      <c r="AV24" s="76">
        <f t="shared" si="11"/>
        <v>0</v>
      </c>
      <c r="AW24" s="89">
        <f t="shared" si="11"/>
        <v>0</v>
      </c>
    </row>
    <row r="25" spans="2:49" x14ac:dyDescent="0.3">
      <c r="B25" s="36" t="s">
        <v>164</v>
      </c>
      <c r="C25" s="5"/>
      <c r="D25" s="5"/>
      <c r="E25" s="28"/>
      <c r="F25" s="202">
        <v>0</v>
      </c>
      <c r="G25" s="76">
        <f>IFERROR($F25/Overview!$D$31,0)</f>
        <v>0</v>
      </c>
      <c r="H25" s="93">
        <f>IFERROR($F25/Overview!$D$30,0)</f>
        <v>0</v>
      </c>
      <c r="I25" s="120">
        <f t="shared" si="9"/>
        <v>0</v>
      </c>
      <c r="J25" s="5"/>
      <c r="K25" s="501" t="s">
        <v>165</v>
      </c>
      <c r="L25" s="502"/>
      <c r="M25" s="149"/>
      <c r="N25" s="150"/>
      <c r="O25" s="148"/>
      <c r="P25" s="213">
        <v>0</v>
      </c>
      <c r="Q25" s="76">
        <f>IFERROR($P25/Overview!$D$31,0)</f>
        <v>0</v>
      </c>
      <c r="R25" s="93">
        <f>IFERROR($P25/Overview!$D$30,0)</f>
        <v>0</v>
      </c>
      <c r="S25" s="120">
        <f t="shared" si="3"/>
        <v>0</v>
      </c>
      <c r="T25" s="5"/>
      <c r="U25" s="501" t="s">
        <v>290</v>
      </c>
      <c r="V25" s="5"/>
      <c r="W25" s="28"/>
      <c r="X25" s="202">
        <f>150*Overview!$D$31</f>
        <v>0</v>
      </c>
      <c r="Y25" s="76">
        <f>IFERROR($X25/Overview!$D$31,0)</f>
        <v>0</v>
      </c>
      <c r="Z25" s="93">
        <f>IFERROR($X25/Overview!$D$30,0)</f>
        <v>0</v>
      </c>
      <c r="AA25" s="120">
        <f t="shared" ca="1" si="7"/>
        <v>0</v>
      </c>
      <c r="AB25" s="5"/>
      <c r="AC25" s="501" t="str">
        <f t="shared" si="1"/>
        <v>Gas</v>
      </c>
      <c r="AD25" s="5"/>
      <c r="AE25" s="5"/>
      <c r="AF25" s="229">
        <v>0</v>
      </c>
      <c r="AG25" s="229">
        <v>0</v>
      </c>
      <c r="AH25" s="253"/>
      <c r="AI25" s="76">
        <f t="shared" si="10"/>
        <v>0</v>
      </c>
      <c r="AJ25" s="76">
        <f t="shared" ref="AJ25:AW25" si="12">IF(AJ$15&lt;$AH25,AI25*(1+$AF25),AI25*(1+$AG25))</f>
        <v>0</v>
      </c>
      <c r="AK25" s="76">
        <f t="shared" si="12"/>
        <v>0</v>
      </c>
      <c r="AL25" s="76">
        <f t="shared" si="12"/>
        <v>0</v>
      </c>
      <c r="AM25" s="76">
        <f t="shared" si="12"/>
        <v>0</v>
      </c>
      <c r="AN25" s="76">
        <f t="shared" si="12"/>
        <v>0</v>
      </c>
      <c r="AO25" s="76">
        <f t="shared" si="12"/>
        <v>0</v>
      </c>
      <c r="AP25" s="76">
        <f t="shared" si="12"/>
        <v>0</v>
      </c>
      <c r="AQ25" s="76">
        <f t="shared" si="12"/>
        <v>0</v>
      </c>
      <c r="AR25" s="76">
        <f t="shared" si="12"/>
        <v>0</v>
      </c>
      <c r="AS25" s="76">
        <f t="shared" si="12"/>
        <v>0</v>
      </c>
      <c r="AT25" s="76">
        <f t="shared" si="12"/>
        <v>0</v>
      </c>
      <c r="AU25" s="76">
        <f t="shared" si="12"/>
        <v>0</v>
      </c>
      <c r="AV25" s="76">
        <f t="shared" si="12"/>
        <v>0</v>
      </c>
      <c r="AW25" s="89">
        <f t="shared" si="12"/>
        <v>0</v>
      </c>
    </row>
    <row r="26" spans="2:49" x14ac:dyDescent="0.3">
      <c r="B26" s="36" t="s">
        <v>166</v>
      </c>
      <c r="C26" s="5"/>
      <c r="D26" s="5"/>
      <c r="E26" s="28"/>
      <c r="F26" s="202">
        <v>0</v>
      </c>
      <c r="G26" s="76">
        <f>IFERROR($F26/Overview!$D$31,0)</f>
        <v>0</v>
      </c>
      <c r="H26" s="93">
        <f>IFERROR($F26/Overview!$D$30,0)</f>
        <v>0</v>
      </c>
      <c r="I26" s="120">
        <f t="shared" si="9"/>
        <v>0</v>
      </c>
      <c r="J26" s="5"/>
      <c r="K26" s="501" t="s">
        <v>167</v>
      </c>
      <c r="L26" s="502"/>
      <c r="M26" s="149"/>
      <c r="N26" s="150"/>
      <c r="O26" s="148"/>
      <c r="P26" s="213">
        <v>0</v>
      </c>
      <c r="Q26" s="76">
        <f>IFERROR($P26/Overview!$D$31,0)</f>
        <v>0</v>
      </c>
      <c r="R26" s="93">
        <f>IFERROR($P26/Overview!$D$30,0)</f>
        <v>0</v>
      </c>
      <c r="S26" s="120">
        <f t="shared" si="3"/>
        <v>0</v>
      </c>
      <c r="T26" s="5"/>
      <c r="U26" s="501" t="s">
        <v>89</v>
      </c>
      <c r="V26" s="5"/>
      <c r="W26" s="28"/>
      <c r="X26" s="202">
        <f>350*Overview!$D$31</f>
        <v>0</v>
      </c>
      <c r="Y26" s="76">
        <f>IFERROR($X26/Overview!$D$31,0)</f>
        <v>0</v>
      </c>
      <c r="Z26" s="93">
        <f>IFERROR($X26/Overview!$D$30,0)</f>
        <v>0</v>
      </c>
      <c r="AA26" s="120">
        <f t="shared" ca="1" si="7"/>
        <v>0</v>
      </c>
      <c r="AB26" s="5"/>
      <c r="AC26" s="501" t="str">
        <f t="shared" si="1"/>
        <v>Electric</v>
      </c>
      <c r="AD26" s="5"/>
      <c r="AE26" s="5"/>
      <c r="AF26" s="229">
        <v>0</v>
      </c>
      <c r="AG26" s="229">
        <v>0</v>
      </c>
      <c r="AH26" s="253"/>
      <c r="AI26" s="76">
        <f t="shared" si="10"/>
        <v>0</v>
      </c>
      <c r="AJ26" s="76">
        <f t="shared" ref="AJ26:AW26" si="13">IF(AJ$15&lt;$AH26,AI26*(1+$AF26),AI26*(1+$AG26))</f>
        <v>0</v>
      </c>
      <c r="AK26" s="76">
        <f t="shared" si="13"/>
        <v>0</v>
      </c>
      <c r="AL26" s="76">
        <f t="shared" si="13"/>
        <v>0</v>
      </c>
      <c r="AM26" s="76">
        <f t="shared" si="13"/>
        <v>0</v>
      </c>
      <c r="AN26" s="76">
        <f t="shared" si="13"/>
        <v>0</v>
      </c>
      <c r="AO26" s="76">
        <f t="shared" si="13"/>
        <v>0</v>
      </c>
      <c r="AP26" s="76">
        <f t="shared" si="13"/>
        <v>0</v>
      </c>
      <c r="AQ26" s="76">
        <f t="shared" si="13"/>
        <v>0</v>
      </c>
      <c r="AR26" s="76">
        <f t="shared" si="13"/>
        <v>0</v>
      </c>
      <c r="AS26" s="76">
        <f t="shared" si="13"/>
        <v>0</v>
      </c>
      <c r="AT26" s="76">
        <f t="shared" si="13"/>
        <v>0</v>
      </c>
      <c r="AU26" s="76">
        <f t="shared" si="13"/>
        <v>0</v>
      </c>
      <c r="AV26" s="76">
        <f t="shared" si="13"/>
        <v>0</v>
      </c>
      <c r="AW26" s="89">
        <f t="shared" si="13"/>
        <v>0</v>
      </c>
    </row>
    <row r="27" spans="2:49" x14ac:dyDescent="0.3">
      <c r="B27" s="36" t="s">
        <v>168</v>
      </c>
      <c r="C27" s="5"/>
      <c r="D27" s="5"/>
      <c r="E27" s="28"/>
      <c r="F27" s="202">
        <v>0</v>
      </c>
      <c r="G27" s="76">
        <f>IFERROR($F27/Overview!$D$31,0)</f>
        <v>0</v>
      </c>
      <c r="H27" s="93">
        <f>IFERROR($F27/Overview!$D$30,0)</f>
        <v>0</v>
      </c>
      <c r="I27" s="120">
        <f t="shared" si="9"/>
        <v>0</v>
      </c>
      <c r="J27" s="5"/>
      <c r="K27" s="501" t="s">
        <v>169</v>
      </c>
      <c r="L27" s="502"/>
      <c r="M27" s="149"/>
      <c r="N27" s="150"/>
      <c r="O27" s="148"/>
      <c r="P27" s="213">
        <v>0</v>
      </c>
      <c r="Q27" s="76">
        <f>IFERROR($P27/Overview!$D$31,0)</f>
        <v>0</v>
      </c>
      <c r="R27" s="93">
        <f>IFERROR($P27/Overview!$D$30,0)</f>
        <v>0</v>
      </c>
      <c r="S27" s="120">
        <f t="shared" si="3"/>
        <v>0</v>
      </c>
      <c r="T27" s="5"/>
      <c r="U27" s="501" t="s">
        <v>291</v>
      </c>
      <c r="V27" s="5"/>
      <c r="W27" s="28"/>
      <c r="X27" s="202">
        <f>450*Overview!$D$31</f>
        <v>0</v>
      </c>
      <c r="Y27" s="76">
        <f>IFERROR($X27/Overview!$D$31,0)</f>
        <v>0</v>
      </c>
      <c r="Z27" s="93">
        <f>IFERROR($X27/Overview!$D$30,0)</f>
        <v>0</v>
      </c>
      <c r="AA27" s="120">
        <f t="shared" ca="1" si="7"/>
        <v>0</v>
      </c>
      <c r="AB27" s="5"/>
      <c r="AC27" s="501" t="str">
        <f t="shared" si="1"/>
        <v>Water &amp; Sewer</v>
      </c>
      <c r="AD27" s="5"/>
      <c r="AE27" s="5"/>
      <c r="AF27" s="229">
        <v>0</v>
      </c>
      <c r="AG27" s="229">
        <v>0</v>
      </c>
      <c r="AH27" s="253"/>
      <c r="AI27" s="76">
        <f t="shared" si="10"/>
        <v>0</v>
      </c>
      <c r="AJ27" s="76">
        <f t="shared" ref="AJ27:AW27" si="14">IF(AJ$15&lt;$AH27,AI27*(1+$AF27),AI27*(1+$AG27))</f>
        <v>0</v>
      </c>
      <c r="AK27" s="76">
        <f t="shared" si="14"/>
        <v>0</v>
      </c>
      <c r="AL27" s="76">
        <f t="shared" si="14"/>
        <v>0</v>
      </c>
      <c r="AM27" s="76">
        <f t="shared" si="14"/>
        <v>0</v>
      </c>
      <c r="AN27" s="76">
        <f t="shared" si="14"/>
        <v>0</v>
      </c>
      <c r="AO27" s="76">
        <f t="shared" si="14"/>
        <v>0</v>
      </c>
      <c r="AP27" s="76">
        <f t="shared" si="14"/>
        <v>0</v>
      </c>
      <c r="AQ27" s="76">
        <f t="shared" si="14"/>
        <v>0</v>
      </c>
      <c r="AR27" s="76">
        <f t="shared" si="14"/>
        <v>0</v>
      </c>
      <c r="AS27" s="76">
        <f t="shared" si="14"/>
        <v>0</v>
      </c>
      <c r="AT27" s="76">
        <f t="shared" si="14"/>
        <v>0</v>
      </c>
      <c r="AU27" s="76">
        <f t="shared" si="14"/>
        <v>0</v>
      </c>
      <c r="AV27" s="76">
        <f t="shared" si="14"/>
        <v>0</v>
      </c>
      <c r="AW27" s="89">
        <f t="shared" si="14"/>
        <v>0</v>
      </c>
    </row>
    <row r="28" spans="2:49" x14ac:dyDescent="0.3">
      <c r="B28" s="36" t="s">
        <v>170</v>
      </c>
      <c r="C28" s="5"/>
      <c r="D28" s="5"/>
      <c r="E28" s="28"/>
      <c r="F28" s="202">
        <v>0</v>
      </c>
      <c r="G28" s="76">
        <f>IFERROR($F28/Overview!$D$31,0)</f>
        <v>0</v>
      </c>
      <c r="H28" s="93">
        <f>IFERROR($F28/Overview!$D$30,0)</f>
        <v>0</v>
      </c>
      <c r="I28" s="120">
        <f t="shared" si="9"/>
        <v>0</v>
      </c>
      <c r="J28" s="5"/>
      <c r="K28" s="501" t="s">
        <v>47</v>
      </c>
      <c r="L28" s="502"/>
      <c r="M28" s="149"/>
      <c r="N28" s="150"/>
      <c r="O28" s="148"/>
      <c r="P28" s="213">
        <v>0</v>
      </c>
      <c r="Q28" s="76">
        <f>IFERROR($P28/Overview!$D$31,0)</f>
        <v>0</v>
      </c>
      <c r="R28" s="93">
        <f>IFERROR($P28/Overview!$D$30,0)</f>
        <v>0</v>
      </c>
      <c r="S28" s="120">
        <f t="shared" si="3"/>
        <v>0</v>
      </c>
      <c r="T28" s="5"/>
      <c r="U28" s="501" t="s">
        <v>98</v>
      </c>
      <c r="V28" s="5"/>
      <c r="W28" s="28"/>
      <c r="X28" s="202">
        <f>30*Overview!$D$31</f>
        <v>0</v>
      </c>
      <c r="Y28" s="76">
        <f>IFERROR($X28/Overview!$D$31,0)</f>
        <v>0</v>
      </c>
      <c r="Z28" s="93">
        <f>IFERROR($X28/Overview!$D$30,0)</f>
        <v>0</v>
      </c>
      <c r="AA28" s="120">
        <f t="shared" ca="1" si="7"/>
        <v>0</v>
      </c>
      <c r="AB28" s="5"/>
      <c r="AC28" s="501" t="str">
        <f t="shared" si="1"/>
        <v>Trash</v>
      </c>
      <c r="AD28" s="5"/>
      <c r="AE28" s="5"/>
      <c r="AF28" s="229">
        <v>0</v>
      </c>
      <c r="AG28" s="229">
        <v>0</v>
      </c>
      <c r="AH28" s="253"/>
      <c r="AI28" s="76">
        <f t="shared" si="10"/>
        <v>0</v>
      </c>
      <c r="AJ28" s="76">
        <f t="shared" ref="AJ28:AW28" si="15">IF(AJ$15&lt;$AH28,AI28*(1+$AF28),AI28*(1+$AG28))</f>
        <v>0</v>
      </c>
      <c r="AK28" s="76">
        <f t="shared" si="15"/>
        <v>0</v>
      </c>
      <c r="AL28" s="76">
        <f t="shared" si="15"/>
        <v>0</v>
      </c>
      <c r="AM28" s="76">
        <f t="shared" si="15"/>
        <v>0</v>
      </c>
      <c r="AN28" s="76">
        <f t="shared" si="15"/>
        <v>0</v>
      </c>
      <c r="AO28" s="76">
        <f t="shared" si="15"/>
        <v>0</v>
      </c>
      <c r="AP28" s="76">
        <f t="shared" si="15"/>
        <v>0</v>
      </c>
      <c r="AQ28" s="76">
        <f t="shared" si="15"/>
        <v>0</v>
      </c>
      <c r="AR28" s="76">
        <f t="shared" si="15"/>
        <v>0</v>
      </c>
      <c r="AS28" s="76">
        <f t="shared" si="15"/>
        <v>0</v>
      </c>
      <c r="AT28" s="76">
        <f t="shared" si="15"/>
        <v>0</v>
      </c>
      <c r="AU28" s="76">
        <f t="shared" si="15"/>
        <v>0</v>
      </c>
      <c r="AV28" s="76">
        <f t="shared" si="15"/>
        <v>0</v>
      </c>
      <c r="AW28" s="89">
        <f t="shared" si="15"/>
        <v>0</v>
      </c>
    </row>
    <row r="29" spans="2:49" x14ac:dyDescent="0.3">
      <c r="B29" s="36" t="s">
        <v>171</v>
      </c>
      <c r="C29" s="5"/>
      <c r="D29" s="5"/>
      <c r="E29" s="28"/>
      <c r="F29" s="202">
        <v>0</v>
      </c>
      <c r="G29" s="76">
        <f>IFERROR($F29/Overview!$D$31,0)</f>
        <v>0</v>
      </c>
      <c r="H29" s="93">
        <f>IFERROR($F29/Overview!$D$30,0)</f>
        <v>0</v>
      </c>
      <c r="I29" s="120">
        <f t="shared" si="9"/>
        <v>0</v>
      </c>
      <c r="J29" s="5"/>
      <c r="K29" s="501" t="s">
        <v>172</v>
      </c>
      <c r="L29" s="502"/>
      <c r="M29" s="149"/>
      <c r="N29" s="150"/>
      <c r="O29" s="148"/>
      <c r="P29" s="213">
        <v>0</v>
      </c>
      <c r="Q29" s="76">
        <f>IFERROR($P29/Overview!$D$31,0)</f>
        <v>0</v>
      </c>
      <c r="R29" s="93">
        <f>IFERROR($P29/Overview!$D$30,0)</f>
        <v>0</v>
      </c>
      <c r="S29" s="120">
        <f t="shared" si="3"/>
        <v>0</v>
      </c>
      <c r="T29" s="5"/>
      <c r="U29" s="501" t="s">
        <v>292</v>
      </c>
      <c r="V29" s="5"/>
      <c r="W29" s="28"/>
      <c r="X29" s="202">
        <f>200*Overview!$D$31</f>
        <v>0</v>
      </c>
      <c r="Y29" s="76">
        <f>IFERROR($X29/Overview!$D$31,0)</f>
        <v>0</v>
      </c>
      <c r="Z29" s="93">
        <f>IFERROR($X29/Overview!$D$30,0)</f>
        <v>0</v>
      </c>
      <c r="AA29" s="120">
        <f t="shared" ca="1" si="7"/>
        <v>0</v>
      </c>
      <c r="AB29" s="5"/>
      <c r="AC29" s="501" t="str">
        <f t="shared" si="1"/>
        <v>Advertising / Marketing</v>
      </c>
      <c r="AD29" s="5"/>
      <c r="AE29" s="5"/>
      <c r="AF29" s="229">
        <v>0</v>
      </c>
      <c r="AG29" s="229">
        <v>0</v>
      </c>
      <c r="AH29" s="253"/>
      <c r="AI29" s="76">
        <f t="shared" si="10"/>
        <v>0</v>
      </c>
      <c r="AJ29" s="76">
        <f t="shared" ref="AJ29:AW29" si="16">IF(AJ$15&lt;$AH29,AI29*(1+$AF29),AI29*(1+$AG29))</f>
        <v>0</v>
      </c>
      <c r="AK29" s="76">
        <f t="shared" si="16"/>
        <v>0</v>
      </c>
      <c r="AL29" s="76">
        <f t="shared" si="16"/>
        <v>0</v>
      </c>
      <c r="AM29" s="76">
        <f t="shared" si="16"/>
        <v>0</v>
      </c>
      <c r="AN29" s="76">
        <f t="shared" si="16"/>
        <v>0</v>
      </c>
      <c r="AO29" s="76">
        <f t="shared" si="16"/>
        <v>0</v>
      </c>
      <c r="AP29" s="76">
        <f t="shared" si="16"/>
        <v>0</v>
      </c>
      <c r="AQ29" s="76">
        <f t="shared" si="16"/>
        <v>0</v>
      </c>
      <c r="AR29" s="76">
        <f t="shared" si="16"/>
        <v>0</v>
      </c>
      <c r="AS29" s="76">
        <f t="shared" si="16"/>
        <v>0</v>
      </c>
      <c r="AT29" s="76">
        <f t="shared" si="16"/>
        <v>0</v>
      </c>
      <c r="AU29" s="76">
        <f t="shared" si="16"/>
        <v>0</v>
      </c>
      <c r="AV29" s="76">
        <f t="shared" si="16"/>
        <v>0</v>
      </c>
      <c r="AW29" s="89">
        <f t="shared" si="16"/>
        <v>0</v>
      </c>
    </row>
    <row r="30" spans="2:49" x14ac:dyDescent="0.3">
      <c r="B30" s="206" t="s">
        <v>173</v>
      </c>
      <c r="C30" s="207"/>
      <c r="D30" s="207"/>
      <c r="E30" s="189"/>
      <c r="F30" s="202">
        <v>0</v>
      </c>
      <c r="G30" s="76">
        <f>IFERROR($F30/Overview!$D$31,0)</f>
        <v>0</v>
      </c>
      <c r="H30" s="93">
        <f>IFERROR($F30/Overview!$D$30,0)</f>
        <v>0</v>
      </c>
      <c r="I30" s="120">
        <f t="shared" si="9"/>
        <v>0</v>
      </c>
      <c r="J30" s="5"/>
      <c r="K30" s="501" t="s">
        <v>174</v>
      </c>
      <c r="L30" s="502"/>
      <c r="M30" s="149"/>
      <c r="N30" s="150"/>
      <c r="O30" s="148"/>
      <c r="P30" s="213">
        <v>0</v>
      </c>
      <c r="Q30" s="76">
        <f>IFERROR($P30/Overview!$D$31,0)</f>
        <v>0</v>
      </c>
      <c r="R30" s="93">
        <f>IFERROR($P30/Overview!$D$30,0)</f>
        <v>0</v>
      </c>
      <c r="S30" s="120">
        <f t="shared" si="3"/>
        <v>0</v>
      </c>
      <c r="T30" s="5"/>
      <c r="U30" s="501" t="s">
        <v>293</v>
      </c>
      <c r="V30" s="5"/>
      <c r="W30" s="28"/>
      <c r="X30" s="202">
        <f>500*Overview!$D$31</f>
        <v>0</v>
      </c>
      <c r="Y30" s="76">
        <f>IFERROR($X30/Overview!$D$31,0)</f>
        <v>0</v>
      </c>
      <c r="Z30" s="93">
        <f>IFERROR($X30/Overview!$D$30,0)</f>
        <v>0</v>
      </c>
      <c r="AA30" s="120">
        <f t="shared" ca="1" si="7"/>
        <v>0</v>
      </c>
      <c r="AB30" s="5"/>
      <c r="AC30" s="501" t="str">
        <f t="shared" si="1"/>
        <v>Janitorial / Security / Grounds Maintenance</v>
      </c>
      <c r="AD30" s="5"/>
      <c r="AE30" s="5"/>
      <c r="AF30" s="229">
        <v>0</v>
      </c>
      <c r="AG30" s="229">
        <v>0</v>
      </c>
      <c r="AH30" s="253"/>
      <c r="AI30" s="76">
        <f t="shared" si="10"/>
        <v>0</v>
      </c>
      <c r="AJ30" s="76">
        <f t="shared" ref="AJ30:AW30" si="17">IF(AJ$15&lt;$AH30,AI30*(1+$AF30),AI30*(1+$AG30))</f>
        <v>0</v>
      </c>
      <c r="AK30" s="76">
        <f t="shared" si="17"/>
        <v>0</v>
      </c>
      <c r="AL30" s="76">
        <f t="shared" si="17"/>
        <v>0</v>
      </c>
      <c r="AM30" s="76">
        <f t="shared" si="17"/>
        <v>0</v>
      </c>
      <c r="AN30" s="76">
        <f t="shared" si="17"/>
        <v>0</v>
      </c>
      <c r="AO30" s="76">
        <f t="shared" si="17"/>
        <v>0</v>
      </c>
      <c r="AP30" s="76">
        <f t="shared" si="17"/>
        <v>0</v>
      </c>
      <c r="AQ30" s="76">
        <f t="shared" si="17"/>
        <v>0</v>
      </c>
      <c r="AR30" s="76">
        <f t="shared" si="17"/>
        <v>0</v>
      </c>
      <c r="AS30" s="76">
        <f t="shared" si="17"/>
        <v>0</v>
      </c>
      <c r="AT30" s="76">
        <f t="shared" si="17"/>
        <v>0</v>
      </c>
      <c r="AU30" s="76">
        <f t="shared" si="17"/>
        <v>0</v>
      </c>
      <c r="AV30" s="76">
        <f t="shared" si="17"/>
        <v>0</v>
      </c>
      <c r="AW30" s="89">
        <f t="shared" si="17"/>
        <v>0</v>
      </c>
    </row>
    <row r="31" spans="2:49" x14ac:dyDescent="0.3">
      <c r="B31" s="53" t="s">
        <v>175</v>
      </c>
      <c r="C31" s="44"/>
      <c r="D31" s="44"/>
      <c r="E31" s="42"/>
      <c r="F31" s="82">
        <f>SUM(F23:F30)</f>
        <v>0</v>
      </c>
      <c r="G31" s="82">
        <f>IFERROR($F31/Overview!$D$31,0)</f>
        <v>0</v>
      </c>
      <c r="H31" s="81">
        <f>IFERROR($F31/Overview!$D$30,0)</f>
        <v>0</v>
      </c>
      <c r="I31" s="123">
        <f t="shared" si="9"/>
        <v>0</v>
      </c>
      <c r="J31" s="5"/>
      <c r="K31" s="501" t="s">
        <v>176</v>
      </c>
      <c r="L31" s="502"/>
      <c r="M31" s="149"/>
      <c r="N31" s="150"/>
      <c r="O31" s="148"/>
      <c r="P31" s="184">
        <f>$P$58-SUM($P$17:$P$30,$P$32:$P$33)</f>
        <v>0</v>
      </c>
      <c r="Q31" s="76">
        <f>IFERROR($P31/Overview!$D$31,0)</f>
        <v>0</v>
      </c>
      <c r="R31" s="93">
        <f>IFERROR($P31/Overview!$D$30,0)</f>
        <v>0</v>
      </c>
      <c r="S31" s="120">
        <f t="shared" si="3"/>
        <v>0</v>
      </c>
      <c r="T31" s="5"/>
      <c r="U31" s="501" t="s">
        <v>294</v>
      </c>
      <c r="V31" s="5"/>
      <c r="W31" s="28"/>
      <c r="X31" s="202">
        <f>700*Overview!$D$31</f>
        <v>0</v>
      </c>
      <c r="Y31" s="76">
        <f>IFERROR($X31/Overview!$D$31,0)</f>
        <v>0</v>
      </c>
      <c r="Z31" s="93">
        <f>IFERROR($X31/Overview!$D$30,0)</f>
        <v>0</v>
      </c>
      <c r="AA31" s="120">
        <f t="shared" ca="1" si="7"/>
        <v>0</v>
      </c>
      <c r="AB31" s="5"/>
      <c r="AC31" s="501" t="str">
        <f t="shared" si="1"/>
        <v>Repairs &amp; Maintenance</v>
      </c>
      <c r="AD31" s="5"/>
      <c r="AE31" s="5"/>
      <c r="AF31" s="229">
        <v>0</v>
      </c>
      <c r="AG31" s="229">
        <v>0</v>
      </c>
      <c r="AH31" s="253"/>
      <c r="AI31" s="76">
        <f t="shared" si="10"/>
        <v>0</v>
      </c>
      <c r="AJ31" s="76">
        <f t="shared" ref="AJ31:AW31" si="18">IF(AJ$15&lt;$AH31,AI31*(1+$AF31),AI31*(1+$AG31))</f>
        <v>0</v>
      </c>
      <c r="AK31" s="76">
        <f t="shared" si="18"/>
        <v>0</v>
      </c>
      <c r="AL31" s="76">
        <f t="shared" si="18"/>
        <v>0</v>
      </c>
      <c r="AM31" s="76">
        <f t="shared" si="18"/>
        <v>0</v>
      </c>
      <c r="AN31" s="76">
        <f t="shared" si="18"/>
        <v>0</v>
      </c>
      <c r="AO31" s="76">
        <f t="shared" si="18"/>
        <v>0</v>
      </c>
      <c r="AP31" s="76">
        <f t="shared" si="18"/>
        <v>0</v>
      </c>
      <c r="AQ31" s="76">
        <f t="shared" si="18"/>
        <v>0</v>
      </c>
      <c r="AR31" s="76">
        <f t="shared" si="18"/>
        <v>0</v>
      </c>
      <c r="AS31" s="76">
        <f t="shared" si="18"/>
        <v>0</v>
      </c>
      <c r="AT31" s="76">
        <f t="shared" si="18"/>
        <v>0</v>
      </c>
      <c r="AU31" s="76">
        <f t="shared" si="18"/>
        <v>0</v>
      </c>
      <c r="AV31" s="76">
        <f t="shared" si="18"/>
        <v>0</v>
      </c>
      <c r="AW31" s="89">
        <f t="shared" si="18"/>
        <v>0</v>
      </c>
    </row>
    <row r="32" spans="2:49" x14ac:dyDescent="0.3">
      <c r="B32" s="501"/>
      <c r="C32" s="5"/>
      <c r="D32" s="5"/>
      <c r="E32" s="28"/>
      <c r="F32" s="76"/>
      <c r="G32" s="76"/>
      <c r="H32" s="93"/>
      <c r="I32" s="120"/>
      <c r="J32" s="5"/>
      <c r="K32" s="188" t="s">
        <v>177</v>
      </c>
      <c r="L32" s="209"/>
      <c r="M32" s="146"/>
      <c r="N32" s="147"/>
      <c r="O32" s="148"/>
      <c r="P32" s="213">
        <v>0</v>
      </c>
      <c r="Q32" s="76">
        <f>IFERROR($P32/Overview!$D$31,0)</f>
        <v>0</v>
      </c>
      <c r="R32" s="93">
        <f>IFERROR($P32/Overview!$D$30,0)</f>
        <v>0</v>
      </c>
      <c r="S32" s="120">
        <f t="shared" si="3"/>
        <v>0</v>
      </c>
      <c r="T32" s="5"/>
      <c r="U32" s="501" t="s">
        <v>295</v>
      </c>
      <c r="V32" s="5"/>
      <c r="W32" s="28"/>
      <c r="X32" s="76">
        <f ca="1">IFERROR(SUMIFS('Financials- SWHP'!$R$79:$X$79,'Financials- SWHP'!$R$63:$X$63,$Q$62),0)</f>
        <v>0</v>
      </c>
      <c r="Y32" s="76">
        <f ca="1">IFERROR($X32/Overview!$D$31,0)</f>
        <v>0</v>
      </c>
      <c r="Z32" s="93">
        <f ca="1">IFERROR($X32/Overview!$D$30,0)</f>
        <v>0</v>
      </c>
      <c r="AA32" s="120">
        <f t="shared" ca="1" si="7"/>
        <v>0</v>
      </c>
      <c r="AB32" s="5"/>
      <c r="AC32" s="501" t="str">
        <f t="shared" si="1"/>
        <v>Real Estate Taxes</v>
      </c>
      <c r="AD32" s="5"/>
      <c r="AE32" s="5"/>
      <c r="AF32" s="551">
        <f>AF17</f>
        <v>0</v>
      </c>
      <c r="AG32" s="551">
        <f>AG17</f>
        <v>0</v>
      </c>
      <c r="AH32" s="552"/>
      <c r="AI32" s="76">
        <f ca="1">IFERROR(X32,0)</f>
        <v>0</v>
      </c>
      <c r="AJ32" s="76">
        <f ca="1">IFERROR(IF(AJ$15&lt;$AH32,AI32*(1+$AF32),AI32*(1+$AG32)),0)</f>
        <v>0</v>
      </c>
      <c r="AK32" s="76">
        <f t="shared" ref="AK32:AW32" ca="1" si="19">IFERROR(IF(AK$15&lt;$AH32,AJ32*(1+$AF32),AJ32*(1+$AG32)),0)</f>
        <v>0</v>
      </c>
      <c r="AL32" s="76">
        <f t="shared" ca="1" si="19"/>
        <v>0</v>
      </c>
      <c r="AM32" s="76">
        <f t="shared" ca="1" si="19"/>
        <v>0</v>
      </c>
      <c r="AN32" s="76">
        <f t="shared" ca="1" si="19"/>
        <v>0</v>
      </c>
      <c r="AO32" s="76">
        <f t="shared" ca="1" si="19"/>
        <v>0</v>
      </c>
      <c r="AP32" s="76">
        <f t="shared" ca="1" si="19"/>
        <v>0</v>
      </c>
      <c r="AQ32" s="76">
        <f t="shared" ca="1" si="19"/>
        <v>0</v>
      </c>
      <c r="AR32" s="76">
        <f t="shared" ca="1" si="19"/>
        <v>0</v>
      </c>
      <c r="AS32" s="76">
        <f t="shared" ca="1" si="19"/>
        <v>0</v>
      </c>
      <c r="AT32" s="76">
        <f t="shared" ca="1" si="19"/>
        <v>0</v>
      </c>
      <c r="AU32" s="76">
        <f t="shared" ca="1" si="19"/>
        <v>0</v>
      </c>
      <c r="AV32" s="76">
        <f t="shared" ca="1" si="19"/>
        <v>0</v>
      </c>
      <c r="AW32" s="89">
        <f t="shared" ca="1" si="19"/>
        <v>0</v>
      </c>
    </row>
    <row r="33" spans="2:49" x14ac:dyDescent="0.3">
      <c r="B33" s="54" t="s">
        <v>178</v>
      </c>
      <c r="C33" s="5"/>
      <c r="D33" s="5"/>
      <c r="E33" s="28"/>
      <c r="F33" s="76"/>
      <c r="G33" s="76"/>
      <c r="H33" s="93"/>
      <c r="I33" s="120"/>
      <c r="J33" s="5"/>
      <c r="K33" s="188" t="s">
        <v>177</v>
      </c>
      <c r="L33" s="209"/>
      <c r="M33" s="146"/>
      <c r="N33" s="147"/>
      <c r="O33" s="148"/>
      <c r="P33" s="213">
        <v>0</v>
      </c>
      <c r="Q33" s="76">
        <f>IFERROR($P33/Overview!$D$31,0)</f>
        <v>0</v>
      </c>
      <c r="R33" s="93">
        <f>IFERROR($P33/Overview!$D$30,0)</f>
        <v>0</v>
      </c>
      <c r="S33" s="120">
        <f t="shared" si="3"/>
        <v>0</v>
      </c>
      <c r="T33" s="5"/>
      <c r="U33" s="501" t="s">
        <v>296</v>
      </c>
      <c r="V33" s="5"/>
      <c r="W33" s="28"/>
      <c r="X33" s="202">
        <f>1000*Overview!$D$31</f>
        <v>0</v>
      </c>
      <c r="Y33" s="76">
        <f>IFERROR($X33/Overview!$D$31,0)</f>
        <v>0</v>
      </c>
      <c r="Z33" s="93">
        <f>IFERROR($X33/Overview!$D$30,0)</f>
        <v>0</v>
      </c>
      <c r="AA33" s="120">
        <f t="shared" ca="1" si="7"/>
        <v>0</v>
      </c>
      <c r="AB33" s="5"/>
      <c r="AC33" s="501" t="str">
        <f t="shared" si="1"/>
        <v>Insurance</v>
      </c>
      <c r="AD33" s="5"/>
      <c r="AE33" s="5"/>
      <c r="AF33" s="229">
        <v>0</v>
      </c>
      <c r="AG33" s="229">
        <v>0</v>
      </c>
      <c r="AH33" s="253"/>
      <c r="AI33" s="76">
        <f t="shared" si="10"/>
        <v>0</v>
      </c>
      <c r="AJ33" s="76">
        <f t="shared" ref="AJ33:AW33" si="20">IF(AJ$15&lt;$AH33,AI33*(1+$AF33),AI33*(1+$AG33))</f>
        <v>0</v>
      </c>
      <c r="AK33" s="76">
        <f t="shared" si="20"/>
        <v>0</v>
      </c>
      <c r="AL33" s="76">
        <f t="shared" si="20"/>
        <v>0</v>
      </c>
      <c r="AM33" s="76">
        <f t="shared" si="20"/>
        <v>0</v>
      </c>
      <c r="AN33" s="76">
        <f t="shared" si="20"/>
        <v>0</v>
      </c>
      <c r="AO33" s="76">
        <f t="shared" si="20"/>
        <v>0</v>
      </c>
      <c r="AP33" s="76">
        <f t="shared" si="20"/>
        <v>0</v>
      </c>
      <c r="AQ33" s="76">
        <f t="shared" si="20"/>
        <v>0</v>
      </c>
      <c r="AR33" s="76">
        <f t="shared" si="20"/>
        <v>0</v>
      </c>
      <c r="AS33" s="76">
        <f t="shared" si="20"/>
        <v>0</v>
      </c>
      <c r="AT33" s="76">
        <f t="shared" si="20"/>
        <v>0</v>
      </c>
      <c r="AU33" s="76">
        <f t="shared" si="20"/>
        <v>0</v>
      </c>
      <c r="AV33" s="76">
        <f t="shared" si="20"/>
        <v>0</v>
      </c>
      <c r="AW33" s="89">
        <f t="shared" si="20"/>
        <v>0</v>
      </c>
    </row>
    <row r="34" spans="2:49" x14ac:dyDescent="0.3">
      <c r="B34" s="36" t="s">
        <v>179</v>
      </c>
      <c r="C34" s="5"/>
      <c r="D34" s="5"/>
      <c r="E34" s="204">
        <v>0</v>
      </c>
      <c r="F34" s="128">
        <f>$E34*SUM(F$31:F33)</f>
        <v>0</v>
      </c>
      <c r="G34" s="76">
        <f>IFERROR($F34/Overview!$D$31,0)</f>
        <v>0</v>
      </c>
      <c r="H34" s="93">
        <f>IFERROR($F34/Overview!$D$30,0)</f>
        <v>0</v>
      </c>
      <c r="I34" s="120">
        <f t="shared" ref="I34:I43" si="21">IFERROR($F34/$F$117,0)</f>
        <v>0</v>
      </c>
      <c r="J34" s="5"/>
      <c r="K34" s="41" t="s">
        <v>180</v>
      </c>
      <c r="L34" s="44"/>
      <c r="M34" s="153"/>
      <c r="N34" s="154"/>
      <c r="O34" s="155"/>
      <c r="P34" s="98">
        <f>SUM(P17:P33)</f>
        <v>0</v>
      </c>
      <c r="Q34" s="82">
        <f>IFERROR($P34/Overview!$D$31,0)</f>
        <v>0</v>
      </c>
      <c r="R34" s="81">
        <f>IFERROR($P34/Overview!$D$30,0)</f>
        <v>0</v>
      </c>
      <c r="S34" s="123">
        <f t="shared" si="3"/>
        <v>0</v>
      </c>
      <c r="T34" s="5"/>
      <c r="U34" s="501" t="s">
        <v>255</v>
      </c>
      <c r="V34" s="5"/>
      <c r="W34" s="28"/>
      <c r="X34" s="202">
        <f>300*Overview!$D$31</f>
        <v>0</v>
      </c>
      <c r="Y34" s="76">
        <f>IFERROR($X34/Overview!$D$31,0)</f>
        <v>0</v>
      </c>
      <c r="Z34" s="93">
        <f>IFERROR($X34/Overview!$D$30,0)</f>
        <v>0</v>
      </c>
      <c r="AA34" s="120">
        <f t="shared" ca="1" si="7"/>
        <v>0</v>
      </c>
      <c r="AB34" s="5"/>
      <c r="AC34" s="501" t="str">
        <f t="shared" si="1"/>
        <v>Replacement Reserve</v>
      </c>
      <c r="AD34" s="5"/>
      <c r="AE34" s="5"/>
      <c r="AF34" s="229">
        <v>0</v>
      </c>
      <c r="AG34" s="229">
        <v>0</v>
      </c>
      <c r="AH34" s="253"/>
      <c r="AI34" s="76">
        <f t="shared" si="10"/>
        <v>0</v>
      </c>
      <c r="AJ34" s="76">
        <f t="shared" ref="AJ34:AW34" si="22">IF(AJ$15&lt;$AH34,AI34*(1+$AF34),AI34*(1+$AG34))</f>
        <v>0</v>
      </c>
      <c r="AK34" s="76">
        <f t="shared" si="22"/>
        <v>0</v>
      </c>
      <c r="AL34" s="76">
        <f t="shared" si="22"/>
        <v>0</v>
      </c>
      <c r="AM34" s="76">
        <f t="shared" si="22"/>
        <v>0</v>
      </c>
      <c r="AN34" s="76">
        <f t="shared" si="22"/>
        <v>0</v>
      </c>
      <c r="AO34" s="76">
        <f t="shared" si="22"/>
        <v>0</v>
      </c>
      <c r="AP34" s="76">
        <f t="shared" si="22"/>
        <v>0</v>
      </c>
      <c r="AQ34" s="76">
        <f t="shared" si="22"/>
        <v>0</v>
      </c>
      <c r="AR34" s="76">
        <f t="shared" si="22"/>
        <v>0</v>
      </c>
      <c r="AS34" s="76">
        <f t="shared" si="22"/>
        <v>0</v>
      </c>
      <c r="AT34" s="76">
        <f t="shared" si="22"/>
        <v>0</v>
      </c>
      <c r="AU34" s="76">
        <f t="shared" si="22"/>
        <v>0</v>
      </c>
      <c r="AV34" s="76">
        <f t="shared" si="22"/>
        <v>0</v>
      </c>
      <c r="AW34" s="89">
        <f t="shared" si="22"/>
        <v>0</v>
      </c>
    </row>
    <row r="35" spans="2:49" x14ac:dyDescent="0.3">
      <c r="B35" s="36" t="s">
        <v>181</v>
      </c>
      <c r="C35" s="5"/>
      <c r="D35" s="5"/>
      <c r="E35" s="204">
        <v>0</v>
      </c>
      <c r="F35" s="128">
        <f>$E35*SUM(F$31:F34)</f>
        <v>0</v>
      </c>
      <c r="G35" s="76">
        <f>IFERROR($F35/Overview!$D$31,0)</f>
        <v>0</v>
      </c>
      <c r="H35" s="93">
        <f>IFERROR($F35/Overview!$D$30,0)</f>
        <v>0</v>
      </c>
      <c r="I35" s="120">
        <f t="shared" si="21"/>
        <v>0</v>
      </c>
      <c r="J35" s="5"/>
      <c r="K35" s="104"/>
      <c r="L35" s="5"/>
      <c r="M35" s="151"/>
      <c r="N35" s="152"/>
      <c r="O35" s="148"/>
      <c r="P35" s="97" t="b">
        <f>P34=$P$58</f>
        <v>1</v>
      </c>
      <c r="Q35" s="76"/>
      <c r="R35" s="93"/>
      <c r="S35" s="120"/>
      <c r="T35" s="5"/>
      <c r="U35" s="188" t="s">
        <v>297</v>
      </c>
      <c r="V35" s="214"/>
      <c r="W35" s="215"/>
      <c r="X35" s="202">
        <v>0</v>
      </c>
      <c r="Y35" s="76">
        <f>IFERROR($X35/Overview!$D$31,0)</f>
        <v>0</v>
      </c>
      <c r="Z35" s="93">
        <f>IFERROR($X35/Overview!$D$30,0)</f>
        <v>0</v>
      </c>
      <c r="AA35" s="120">
        <f t="shared" ca="1" si="7"/>
        <v>0</v>
      </c>
      <c r="AB35" s="5"/>
      <c r="AC35" s="501" t="str">
        <f t="shared" si="1"/>
        <v>Other Expense Item:</v>
      </c>
      <c r="AD35" s="5"/>
      <c r="AE35" s="5"/>
      <c r="AF35" s="229">
        <v>0</v>
      </c>
      <c r="AG35" s="229">
        <v>0</v>
      </c>
      <c r="AH35" s="253"/>
      <c r="AI35" s="76">
        <f t="shared" si="10"/>
        <v>0</v>
      </c>
      <c r="AJ35" s="76">
        <f t="shared" ref="AJ35:AW35" si="23">IF(AJ$15&lt;$AH35,AI35*(1+$AF35),AI35*(1+$AG35))</f>
        <v>0</v>
      </c>
      <c r="AK35" s="76">
        <f t="shared" si="23"/>
        <v>0</v>
      </c>
      <c r="AL35" s="76">
        <f t="shared" si="23"/>
        <v>0</v>
      </c>
      <c r="AM35" s="76">
        <f t="shared" si="23"/>
        <v>0</v>
      </c>
      <c r="AN35" s="76">
        <f t="shared" si="23"/>
        <v>0</v>
      </c>
      <c r="AO35" s="76">
        <f t="shared" si="23"/>
        <v>0</v>
      </c>
      <c r="AP35" s="76">
        <f t="shared" si="23"/>
        <v>0</v>
      </c>
      <c r="AQ35" s="76">
        <f t="shared" si="23"/>
        <v>0</v>
      </c>
      <c r="AR35" s="76">
        <f t="shared" si="23"/>
        <v>0</v>
      </c>
      <c r="AS35" s="76">
        <f t="shared" si="23"/>
        <v>0</v>
      </c>
      <c r="AT35" s="76">
        <f t="shared" si="23"/>
        <v>0</v>
      </c>
      <c r="AU35" s="76">
        <f t="shared" si="23"/>
        <v>0</v>
      </c>
      <c r="AV35" s="76">
        <f t="shared" si="23"/>
        <v>0</v>
      </c>
      <c r="AW35" s="89">
        <f t="shared" si="23"/>
        <v>0</v>
      </c>
    </row>
    <row r="36" spans="2:49" x14ac:dyDescent="0.3">
      <c r="B36" s="36" t="s">
        <v>182</v>
      </c>
      <c r="C36" s="5"/>
      <c r="D36" s="5"/>
      <c r="E36" s="204">
        <v>0</v>
      </c>
      <c r="F36" s="128">
        <f>$E36*SUM(F$31:F35)</f>
        <v>0</v>
      </c>
      <c r="G36" s="76">
        <f>IFERROR($F36/Overview!$D$31,0)</f>
        <v>0</v>
      </c>
      <c r="H36" s="93">
        <f>IFERROR($F36/Overview!$D$30,0)</f>
        <v>0</v>
      </c>
      <c r="I36" s="120">
        <f t="shared" si="21"/>
        <v>0</v>
      </c>
      <c r="J36" s="5"/>
      <c r="K36" s="45" t="s">
        <v>57</v>
      </c>
      <c r="L36" s="46"/>
      <c r="M36" s="139" t="s">
        <v>279</v>
      </c>
      <c r="N36" s="133" t="s">
        <v>280</v>
      </c>
      <c r="O36" s="140" t="s">
        <v>281</v>
      </c>
      <c r="P36" s="143"/>
      <c r="Q36" s="113"/>
      <c r="R36" s="108"/>
      <c r="S36" s="122"/>
      <c r="T36" s="5"/>
      <c r="U36" s="188" t="s">
        <v>297</v>
      </c>
      <c r="V36" s="214"/>
      <c r="W36" s="215"/>
      <c r="X36" s="202">
        <v>0</v>
      </c>
      <c r="Y36" s="76">
        <f>IFERROR($X36/Overview!$D$31,0)</f>
        <v>0</v>
      </c>
      <c r="Z36" s="93">
        <f>IFERROR($X36/Overview!$D$30,0)</f>
        <v>0</v>
      </c>
      <c r="AA36" s="120">
        <f t="shared" ca="1" si="7"/>
        <v>0</v>
      </c>
      <c r="AB36" s="5"/>
      <c r="AC36" s="501" t="str">
        <f t="shared" si="1"/>
        <v>Other Expense Item:</v>
      </c>
      <c r="AD36" s="5"/>
      <c r="AE36" s="5"/>
      <c r="AF36" s="229">
        <v>0</v>
      </c>
      <c r="AG36" s="229">
        <v>0</v>
      </c>
      <c r="AH36" s="253"/>
      <c r="AI36" s="76">
        <f t="shared" si="10"/>
        <v>0</v>
      </c>
      <c r="AJ36" s="76">
        <f t="shared" ref="AJ36:AW36" si="24">IF(AJ$15&lt;$AH36,AI36*(1+$AF36),AI36*(1+$AG36))</f>
        <v>0</v>
      </c>
      <c r="AK36" s="76">
        <f t="shared" si="24"/>
        <v>0</v>
      </c>
      <c r="AL36" s="76">
        <f t="shared" si="24"/>
        <v>0</v>
      </c>
      <c r="AM36" s="76">
        <f t="shared" si="24"/>
        <v>0</v>
      </c>
      <c r="AN36" s="76">
        <f t="shared" si="24"/>
        <v>0</v>
      </c>
      <c r="AO36" s="76">
        <f t="shared" si="24"/>
        <v>0</v>
      </c>
      <c r="AP36" s="76">
        <f t="shared" si="24"/>
        <v>0</v>
      </c>
      <c r="AQ36" s="76">
        <f t="shared" si="24"/>
        <v>0</v>
      </c>
      <c r="AR36" s="76">
        <f t="shared" si="24"/>
        <v>0</v>
      </c>
      <c r="AS36" s="76">
        <f t="shared" si="24"/>
        <v>0</v>
      </c>
      <c r="AT36" s="76">
        <f t="shared" si="24"/>
        <v>0</v>
      </c>
      <c r="AU36" s="76">
        <f t="shared" si="24"/>
        <v>0</v>
      </c>
      <c r="AV36" s="76">
        <f t="shared" si="24"/>
        <v>0</v>
      </c>
      <c r="AW36" s="89">
        <f t="shared" si="24"/>
        <v>0</v>
      </c>
    </row>
    <row r="37" spans="2:49" x14ac:dyDescent="0.3">
      <c r="B37" s="36" t="s">
        <v>183</v>
      </c>
      <c r="C37" s="5"/>
      <c r="D37" s="5"/>
      <c r="E37" s="204">
        <v>0</v>
      </c>
      <c r="F37" s="128">
        <f>$E37*SUM(F$31:F36)</f>
        <v>0</v>
      </c>
      <c r="G37" s="76">
        <f>IFERROR($F37/Overview!$D$31,0)</f>
        <v>0</v>
      </c>
      <c r="H37" s="93">
        <f>IFERROR($F37/Overview!$D$30,0)</f>
        <v>0</v>
      </c>
      <c r="I37" s="120">
        <f t="shared" si="21"/>
        <v>0</v>
      </c>
      <c r="J37" s="5"/>
      <c r="K37" s="188" t="s">
        <v>184</v>
      </c>
      <c r="L37" s="207"/>
      <c r="M37" s="210" t="s">
        <v>139</v>
      </c>
      <c r="N37" s="211" t="s">
        <v>139</v>
      </c>
      <c r="O37" s="212" t="s">
        <v>139</v>
      </c>
      <c r="P37" s="213">
        <v>0</v>
      </c>
      <c r="Q37" s="76">
        <f>IFERROR($P37/Overview!$D$31,0)</f>
        <v>0</v>
      </c>
      <c r="R37" s="93">
        <f>IFERROR($P37/Overview!$D$30,0)</f>
        <v>0</v>
      </c>
      <c r="S37" s="120">
        <f t="shared" ref="S37:S52" si="25">IFERROR($P37/$P$58,0)</f>
        <v>0</v>
      </c>
      <c r="T37" s="5"/>
      <c r="U37" s="188" t="s">
        <v>297</v>
      </c>
      <c r="V37" s="214"/>
      <c r="W37" s="215"/>
      <c r="X37" s="202">
        <v>0</v>
      </c>
      <c r="Y37" s="76">
        <f>IFERROR($X37/Overview!$D$31,0)</f>
        <v>0</v>
      </c>
      <c r="Z37" s="93">
        <f>IFERROR($X37/Overview!$D$30,0)</f>
        <v>0</v>
      </c>
      <c r="AA37" s="120">
        <f t="shared" ca="1" si="7"/>
        <v>0</v>
      </c>
      <c r="AB37" s="5"/>
      <c r="AC37" s="501" t="str">
        <f t="shared" si="1"/>
        <v>Other Expense Item:</v>
      </c>
      <c r="AD37" s="5"/>
      <c r="AE37" s="5"/>
      <c r="AF37" s="229">
        <v>0</v>
      </c>
      <c r="AG37" s="229">
        <v>0</v>
      </c>
      <c r="AH37" s="253"/>
      <c r="AI37" s="76">
        <f t="shared" si="10"/>
        <v>0</v>
      </c>
      <c r="AJ37" s="76">
        <f t="shared" ref="AJ37:AW37" si="26">IF(AJ$15&lt;$AH37,AI37*(1+$AF37),AI37*(1+$AG37))</f>
        <v>0</v>
      </c>
      <c r="AK37" s="76">
        <f t="shared" si="26"/>
        <v>0</v>
      </c>
      <c r="AL37" s="76">
        <f t="shared" si="26"/>
        <v>0</v>
      </c>
      <c r="AM37" s="76">
        <f t="shared" si="26"/>
        <v>0</v>
      </c>
      <c r="AN37" s="76">
        <f t="shared" si="26"/>
        <v>0</v>
      </c>
      <c r="AO37" s="76">
        <f t="shared" si="26"/>
        <v>0</v>
      </c>
      <c r="AP37" s="76">
        <f t="shared" si="26"/>
        <v>0</v>
      </c>
      <c r="AQ37" s="76">
        <f t="shared" si="26"/>
        <v>0</v>
      </c>
      <c r="AR37" s="76">
        <f t="shared" si="26"/>
        <v>0</v>
      </c>
      <c r="AS37" s="76">
        <f t="shared" si="26"/>
        <v>0</v>
      </c>
      <c r="AT37" s="76">
        <f t="shared" si="26"/>
        <v>0</v>
      </c>
      <c r="AU37" s="76">
        <f t="shared" si="26"/>
        <v>0</v>
      </c>
      <c r="AV37" s="76">
        <f t="shared" si="26"/>
        <v>0</v>
      </c>
      <c r="AW37" s="89">
        <f t="shared" si="26"/>
        <v>0</v>
      </c>
    </row>
    <row r="38" spans="2:49" x14ac:dyDescent="0.3">
      <c r="B38" s="36" t="s">
        <v>185</v>
      </c>
      <c r="C38" s="5"/>
      <c r="D38" s="5"/>
      <c r="E38" s="204">
        <v>0</v>
      </c>
      <c r="F38" s="128">
        <f>$E38*SUM(F$31:F37)</f>
        <v>0</v>
      </c>
      <c r="G38" s="76">
        <f>IFERROR($F38/Overview!$D$31,0)</f>
        <v>0</v>
      </c>
      <c r="H38" s="93">
        <f>IFERROR($F38/Overview!$D$30,0)</f>
        <v>0</v>
      </c>
      <c r="I38" s="120">
        <f t="shared" si="21"/>
        <v>0</v>
      </c>
      <c r="J38" s="5"/>
      <c r="K38" s="188" t="s">
        <v>153</v>
      </c>
      <c r="L38" s="207"/>
      <c r="M38" s="210" t="s">
        <v>139</v>
      </c>
      <c r="N38" s="211" t="s">
        <v>139</v>
      </c>
      <c r="O38" s="212" t="s">
        <v>139</v>
      </c>
      <c r="P38" s="213">
        <v>0</v>
      </c>
      <c r="Q38" s="76">
        <f>IFERROR($P38/Overview!$D$31,0)</f>
        <v>0</v>
      </c>
      <c r="R38" s="93">
        <f>IFERROR($P38/Overview!$D$30,0)</f>
        <v>0</v>
      </c>
      <c r="S38" s="120">
        <f t="shared" si="25"/>
        <v>0</v>
      </c>
      <c r="T38" s="5"/>
      <c r="U38" s="188" t="s">
        <v>297</v>
      </c>
      <c r="V38" s="214"/>
      <c r="W38" s="215"/>
      <c r="X38" s="202">
        <v>0</v>
      </c>
      <c r="Y38" s="76">
        <f>IFERROR($X38/Overview!$D$31,0)</f>
        <v>0</v>
      </c>
      <c r="Z38" s="93">
        <f>IFERROR($X38/Overview!$D$30,0)</f>
        <v>0</v>
      </c>
      <c r="AA38" s="120">
        <f t="shared" ca="1" si="7"/>
        <v>0</v>
      </c>
      <c r="AB38" s="5"/>
      <c r="AC38" s="501" t="str">
        <f t="shared" si="1"/>
        <v>Other Expense Item:</v>
      </c>
      <c r="AD38" s="5"/>
      <c r="AE38" s="5"/>
      <c r="AF38" s="229">
        <v>0</v>
      </c>
      <c r="AG38" s="229">
        <v>0</v>
      </c>
      <c r="AH38" s="253"/>
      <c r="AI38" s="76">
        <f t="shared" si="10"/>
        <v>0</v>
      </c>
      <c r="AJ38" s="76">
        <f t="shared" ref="AJ38:AW38" si="27">IF(AJ$15&lt;$AH38,AI38*(1+$AF38),AI38*(1+$AG38))</f>
        <v>0</v>
      </c>
      <c r="AK38" s="76">
        <f t="shared" si="27"/>
        <v>0</v>
      </c>
      <c r="AL38" s="76">
        <f t="shared" si="27"/>
        <v>0</v>
      </c>
      <c r="AM38" s="76">
        <f t="shared" si="27"/>
        <v>0</v>
      </c>
      <c r="AN38" s="76">
        <f t="shared" si="27"/>
        <v>0</v>
      </c>
      <c r="AO38" s="76">
        <f t="shared" si="27"/>
        <v>0</v>
      </c>
      <c r="AP38" s="76">
        <f t="shared" si="27"/>
        <v>0</v>
      </c>
      <c r="AQ38" s="76">
        <f t="shared" si="27"/>
        <v>0</v>
      </c>
      <c r="AR38" s="76">
        <f t="shared" si="27"/>
        <v>0</v>
      </c>
      <c r="AS38" s="76">
        <f t="shared" si="27"/>
        <v>0</v>
      </c>
      <c r="AT38" s="76">
        <f t="shared" si="27"/>
        <v>0</v>
      </c>
      <c r="AU38" s="76">
        <f t="shared" si="27"/>
        <v>0</v>
      </c>
      <c r="AV38" s="76">
        <f t="shared" si="27"/>
        <v>0</v>
      </c>
      <c r="AW38" s="89">
        <f t="shared" si="27"/>
        <v>0</v>
      </c>
    </row>
    <row r="39" spans="2:49" x14ac:dyDescent="0.3">
      <c r="B39" s="36" t="s">
        <v>186</v>
      </c>
      <c r="C39" s="5"/>
      <c r="D39" s="5"/>
      <c r="E39" s="204">
        <v>0</v>
      </c>
      <c r="F39" s="128">
        <f>$E39*SUM(F$31:F38)</f>
        <v>0</v>
      </c>
      <c r="G39" s="76">
        <f>IFERROR($F39/Overview!$D$31,0)</f>
        <v>0</v>
      </c>
      <c r="H39" s="93">
        <f>IFERROR($F39/Overview!$D$30,0)</f>
        <v>0</v>
      </c>
      <c r="I39" s="120">
        <f t="shared" si="21"/>
        <v>0</v>
      </c>
      <c r="J39" s="5"/>
      <c r="K39" s="188" t="s">
        <v>155</v>
      </c>
      <c r="L39" s="207"/>
      <c r="M39" s="210" t="s">
        <v>139</v>
      </c>
      <c r="N39" s="211" t="s">
        <v>139</v>
      </c>
      <c r="O39" s="212" t="s">
        <v>139</v>
      </c>
      <c r="P39" s="213">
        <v>0</v>
      </c>
      <c r="Q39" s="76">
        <f>IFERROR($P39/Overview!$D$31,0)</f>
        <v>0</v>
      </c>
      <c r="R39" s="93">
        <f>IFERROR($P39/Overview!$D$30,0)</f>
        <v>0</v>
      </c>
      <c r="S39" s="120">
        <f t="shared" si="25"/>
        <v>0</v>
      </c>
      <c r="T39" s="5"/>
      <c r="U39" s="501" t="s">
        <v>298</v>
      </c>
      <c r="V39" s="5"/>
      <c r="W39" s="216">
        <v>0</v>
      </c>
      <c r="X39" s="76">
        <f ca="1">$W39*SUM($X$20,-$X$23)</f>
        <v>0</v>
      </c>
      <c r="Y39" s="76">
        <f ca="1">IFERROR($X39/Overview!$D$31,0)</f>
        <v>0</v>
      </c>
      <c r="Z39" s="93">
        <f ca="1">IFERROR($X39/Overview!$D$30,0)</f>
        <v>0</v>
      </c>
      <c r="AA39" s="120">
        <f t="shared" ca="1" si="7"/>
        <v>0</v>
      </c>
      <c r="AB39" s="5"/>
      <c r="AC39" s="501" t="str">
        <f t="shared" si="1"/>
        <v>Management Fee</v>
      </c>
      <c r="AD39" s="5"/>
      <c r="AE39" s="5"/>
      <c r="AF39" s="35"/>
      <c r="AG39" s="35"/>
      <c r="AH39" s="35"/>
      <c r="AI39" s="76">
        <f t="shared" ref="AI39:AW39" ca="1" si="28">$W39*SUM(AI$20,-AI$23)</f>
        <v>0</v>
      </c>
      <c r="AJ39" s="76">
        <f t="shared" ca="1" si="28"/>
        <v>0</v>
      </c>
      <c r="AK39" s="76">
        <f t="shared" ca="1" si="28"/>
        <v>0</v>
      </c>
      <c r="AL39" s="76">
        <f t="shared" ca="1" si="28"/>
        <v>0</v>
      </c>
      <c r="AM39" s="76">
        <f t="shared" ca="1" si="28"/>
        <v>0</v>
      </c>
      <c r="AN39" s="76">
        <f t="shared" ca="1" si="28"/>
        <v>0</v>
      </c>
      <c r="AO39" s="76">
        <f t="shared" ca="1" si="28"/>
        <v>0</v>
      </c>
      <c r="AP39" s="76">
        <f t="shared" ca="1" si="28"/>
        <v>0</v>
      </c>
      <c r="AQ39" s="76">
        <f t="shared" ca="1" si="28"/>
        <v>0</v>
      </c>
      <c r="AR39" s="76">
        <f t="shared" ca="1" si="28"/>
        <v>0</v>
      </c>
      <c r="AS39" s="76">
        <f t="shared" ca="1" si="28"/>
        <v>0</v>
      </c>
      <c r="AT39" s="76">
        <f t="shared" ca="1" si="28"/>
        <v>0</v>
      </c>
      <c r="AU39" s="76">
        <f t="shared" ca="1" si="28"/>
        <v>0</v>
      </c>
      <c r="AV39" s="76">
        <f t="shared" ca="1" si="28"/>
        <v>0</v>
      </c>
      <c r="AW39" s="89">
        <f t="shared" ca="1" si="28"/>
        <v>0</v>
      </c>
    </row>
    <row r="40" spans="2:49" x14ac:dyDescent="0.3">
      <c r="B40" s="36" t="s">
        <v>187</v>
      </c>
      <c r="C40" s="5"/>
      <c r="D40" s="5"/>
      <c r="E40" s="204">
        <v>0</v>
      </c>
      <c r="F40" s="128">
        <f>$E40*SUM(F$31:F39)</f>
        <v>0</v>
      </c>
      <c r="G40" s="76">
        <f>IFERROR($F40/Overview!$D$31,0)</f>
        <v>0</v>
      </c>
      <c r="H40" s="93">
        <f>IFERROR($F40/Overview!$D$30,0)</f>
        <v>0</v>
      </c>
      <c r="I40" s="120">
        <f t="shared" si="21"/>
        <v>0</v>
      </c>
      <c r="J40" s="5"/>
      <c r="K40" s="188" t="s">
        <v>157</v>
      </c>
      <c r="L40" s="207"/>
      <c r="M40" s="210" t="s">
        <v>139</v>
      </c>
      <c r="N40" s="211" t="s">
        <v>139</v>
      </c>
      <c r="O40" s="212" t="s">
        <v>139</v>
      </c>
      <c r="P40" s="213">
        <v>0</v>
      </c>
      <c r="Q40" s="76">
        <f>IFERROR($P40/Overview!$D$31,0)</f>
        <v>0</v>
      </c>
      <c r="R40" s="93">
        <f>IFERROR($P40/Overview!$D$30,0)</f>
        <v>0</v>
      </c>
      <c r="S40" s="120">
        <f t="shared" si="25"/>
        <v>0</v>
      </c>
      <c r="T40" s="5"/>
      <c r="U40" s="41" t="s">
        <v>299</v>
      </c>
      <c r="V40" s="44"/>
      <c r="W40" s="42"/>
      <c r="X40" s="82">
        <f ca="1">IFERROR(SUM(X23:X39),0)</f>
        <v>0</v>
      </c>
      <c r="Y40" s="82">
        <f ca="1">IFERROR($X40/Overview!$D$31,0)</f>
        <v>0</v>
      </c>
      <c r="Z40" s="81">
        <f ca="1">IFERROR($X40/Overview!$D$30,0)</f>
        <v>0</v>
      </c>
      <c r="AA40" s="123">
        <f t="shared" ca="1" si="7"/>
        <v>0</v>
      </c>
      <c r="AB40" s="5"/>
      <c r="AC40" s="41" t="str">
        <f t="shared" si="1"/>
        <v>Total Operating Expenses</v>
      </c>
      <c r="AD40" s="44"/>
      <c r="AE40" s="44"/>
      <c r="AF40" s="43"/>
      <c r="AG40" s="43"/>
      <c r="AH40" s="43"/>
      <c r="AI40" s="82">
        <f t="shared" ref="AI40:AW40" ca="1" si="29">SUM(AI23:AI39)</f>
        <v>0</v>
      </c>
      <c r="AJ40" s="82">
        <f t="shared" ca="1" si="29"/>
        <v>0</v>
      </c>
      <c r="AK40" s="82">
        <f t="shared" ca="1" si="29"/>
        <v>0</v>
      </c>
      <c r="AL40" s="82">
        <f t="shared" ca="1" si="29"/>
        <v>0</v>
      </c>
      <c r="AM40" s="82">
        <f t="shared" ca="1" si="29"/>
        <v>0</v>
      </c>
      <c r="AN40" s="82">
        <f t="shared" ca="1" si="29"/>
        <v>0</v>
      </c>
      <c r="AO40" s="82">
        <f t="shared" ca="1" si="29"/>
        <v>0</v>
      </c>
      <c r="AP40" s="82">
        <f t="shared" ca="1" si="29"/>
        <v>0</v>
      </c>
      <c r="AQ40" s="82">
        <f t="shared" ca="1" si="29"/>
        <v>0</v>
      </c>
      <c r="AR40" s="82">
        <f t="shared" ca="1" si="29"/>
        <v>0</v>
      </c>
      <c r="AS40" s="82">
        <f t="shared" ca="1" si="29"/>
        <v>0</v>
      </c>
      <c r="AT40" s="82">
        <f t="shared" ca="1" si="29"/>
        <v>0</v>
      </c>
      <c r="AU40" s="82">
        <f t="shared" ca="1" si="29"/>
        <v>0</v>
      </c>
      <c r="AV40" s="82">
        <f t="shared" ca="1" si="29"/>
        <v>0</v>
      </c>
      <c r="AW40" s="90">
        <f t="shared" ca="1" si="29"/>
        <v>0</v>
      </c>
    </row>
    <row r="41" spans="2:49" x14ac:dyDescent="0.3">
      <c r="B41" s="36" t="s">
        <v>188</v>
      </c>
      <c r="C41" s="5"/>
      <c r="D41" s="5"/>
      <c r="E41" s="256"/>
      <c r="F41" s="202">
        <v>0</v>
      </c>
      <c r="G41" s="76">
        <f>IFERROR($F41/Overview!$D$31,0)</f>
        <v>0</v>
      </c>
      <c r="H41" s="93">
        <f>IFERROR($F41/Overview!$D$30,0)</f>
        <v>0</v>
      </c>
      <c r="I41" s="120">
        <f t="shared" si="21"/>
        <v>0</v>
      </c>
      <c r="J41" s="5"/>
      <c r="K41" s="188" t="s">
        <v>158</v>
      </c>
      <c r="L41" s="207"/>
      <c r="M41" s="151"/>
      <c r="N41" s="152"/>
      <c r="O41" s="148"/>
      <c r="P41" s="213">
        <v>0</v>
      </c>
      <c r="Q41" s="76">
        <f>IFERROR($P41/Overview!$D$31,0)</f>
        <v>0</v>
      </c>
      <c r="R41" s="93">
        <f>IFERROR($P41/Overview!$D$30,0)</f>
        <v>0</v>
      </c>
      <c r="S41" s="120">
        <f t="shared" si="25"/>
        <v>0</v>
      </c>
      <c r="T41" s="5"/>
      <c r="U41" s="104"/>
      <c r="V41" s="5"/>
      <c r="W41" s="28"/>
      <c r="X41" s="76"/>
      <c r="Y41" s="76"/>
      <c r="Z41" s="93"/>
      <c r="AA41" s="120"/>
      <c r="AB41" s="5"/>
      <c r="AC41" s="104" t="str">
        <f t="shared" si="1"/>
        <v/>
      </c>
      <c r="AD41" s="5"/>
      <c r="AE41" s="5"/>
      <c r="AF41" s="35"/>
      <c r="AG41" s="35"/>
      <c r="AH41" s="35"/>
      <c r="AI41" s="35"/>
      <c r="AJ41" s="35"/>
      <c r="AK41" s="35"/>
      <c r="AL41" s="35"/>
      <c r="AM41" s="35"/>
      <c r="AN41" s="35"/>
      <c r="AO41" s="35"/>
      <c r="AP41" s="35"/>
      <c r="AQ41" s="35"/>
      <c r="AR41" s="35"/>
      <c r="AS41" s="35"/>
      <c r="AT41" s="35"/>
      <c r="AU41" s="35"/>
      <c r="AV41" s="35"/>
      <c r="AW41" s="29"/>
    </row>
    <row r="42" spans="2:49" x14ac:dyDescent="0.3">
      <c r="B42" s="206" t="s">
        <v>189</v>
      </c>
      <c r="C42" s="207"/>
      <c r="D42" s="207"/>
      <c r="E42" s="189"/>
      <c r="F42" s="202">
        <v>0</v>
      </c>
      <c r="G42" s="76">
        <f>IFERROR($F42/Overview!$D$31,0)</f>
        <v>0</v>
      </c>
      <c r="H42" s="93">
        <f>IFERROR($F42/Overview!$D$30,0)</f>
        <v>0</v>
      </c>
      <c r="I42" s="120">
        <f t="shared" si="21"/>
        <v>0</v>
      </c>
      <c r="J42" s="5"/>
      <c r="K42" s="188" t="s">
        <v>159</v>
      </c>
      <c r="L42" s="207"/>
      <c r="M42" s="151"/>
      <c r="N42" s="152"/>
      <c r="O42" s="148"/>
      <c r="P42" s="213">
        <v>0</v>
      </c>
      <c r="Q42" s="76">
        <f>IFERROR($P42/Overview!$D$31,0)</f>
        <v>0</v>
      </c>
      <c r="R42" s="93">
        <f>IFERROR($P42/Overview!$D$30,0)</f>
        <v>0</v>
      </c>
      <c r="S42" s="120">
        <f t="shared" si="25"/>
        <v>0</v>
      </c>
      <c r="T42" s="5"/>
      <c r="U42" s="57" t="s">
        <v>300</v>
      </c>
      <c r="V42" s="51"/>
      <c r="W42" s="52"/>
      <c r="X42" s="114">
        <f ca="1">IFERROR(X20-X40,0)</f>
        <v>0</v>
      </c>
      <c r="Y42" s="114">
        <f ca="1">IFERROR($X42/Overview!$D$31,0)</f>
        <v>0</v>
      </c>
      <c r="Z42" s="109">
        <f ca="1">IFERROR($X42/Overview!$D$30,0)</f>
        <v>0</v>
      </c>
      <c r="AA42" s="121">
        <f ca="1">IFERROR($X42/$X$20,0)</f>
        <v>0</v>
      </c>
      <c r="AB42" s="5"/>
      <c r="AC42" s="57" t="str">
        <f t="shared" si="1"/>
        <v>Net Operating Income</v>
      </c>
      <c r="AD42" s="51"/>
      <c r="AE42" s="51"/>
      <c r="AF42" s="234"/>
      <c r="AG42" s="234"/>
      <c r="AH42" s="234"/>
      <c r="AI42" s="114">
        <f t="shared" ref="AI42:AW42" ca="1" si="30">AI20-AI40</f>
        <v>0</v>
      </c>
      <c r="AJ42" s="114">
        <f t="shared" ca="1" si="30"/>
        <v>0</v>
      </c>
      <c r="AK42" s="114">
        <f t="shared" ca="1" si="30"/>
        <v>0</v>
      </c>
      <c r="AL42" s="114">
        <f t="shared" ca="1" si="30"/>
        <v>0</v>
      </c>
      <c r="AM42" s="114">
        <f t="shared" ca="1" si="30"/>
        <v>0</v>
      </c>
      <c r="AN42" s="114">
        <f t="shared" ca="1" si="30"/>
        <v>0</v>
      </c>
      <c r="AO42" s="114">
        <f t="shared" ca="1" si="30"/>
        <v>0</v>
      </c>
      <c r="AP42" s="114">
        <f t="shared" ca="1" si="30"/>
        <v>0</v>
      </c>
      <c r="AQ42" s="114">
        <f t="shared" ca="1" si="30"/>
        <v>0</v>
      </c>
      <c r="AR42" s="114">
        <f t="shared" ca="1" si="30"/>
        <v>0</v>
      </c>
      <c r="AS42" s="114">
        <f t="shared" ca="1" si="30"/>
        <v>0</v>
      </c>
      <c r="AT42" s="114">
        <f t="shared" ca="1" si="30"/>
        <v>0</v>
      </c>
      <c r="AU42" s="114">
        <f t="shared" ca="1" si="30"/>
        <v>0</v>
      </c>
      <c r="AV42" s="114">
        <f t="shared" ca="1" si="30"/>
        <v>0</v>
      </c>
      <c r="AW42" s="235">
        <f t="shared" ca="1" si="30"/>
        <v>0</v>
      </c>
    </row>
    <row r="43" spans="2:49" x14ac:dyDescent="0.3">
      <c r="B43" s="53" t="s">
        <v>190</v>
      </c>
      <c r="C43" s="44"/>
      <c r="D43" s="44"/>
      <c r="E43" s="42"/>
      <c r="F43" s="82">
        <f>SUM(F34:F42)</f>
        <v>0</v>
      </c>
      <c r="G43" s="82">
        <f>IFERROR($F43/Overview!$D$31,0)</f>
        <v>0</v>
      </c>
      <c r="H43" s="81">
        <f>IFERROR($F43/Overview!$D$30,0)</f>
        <v>0</v>
      </c>
      <c r="I43" s="123">
        <f t="shared" si="21"/>
        <v>0</v>
      </c>
      <c r="J43" s="5"/>
      <c r="K43" s="188" t="s">
        <v>161</v>
      </c>
      <c r="L43" s="207"/>
      <c r="M43" s="151"/>
      <c r="N43" s="152"/>
      <c r="O43" s="148"/>
      <c r="P43" s="213">
        <v>0</v>
      </c>
      <c r="Q43" s="76">
        <f>IFERROR($P43/Overview!$D$31,0)</f>
        <v>0</v>
      </c>
      <c r="R43" s="93">
        <f>IFERROR($P43/Overview!$D$30,0)</f>
        <v>0</v>
      </c>
      <c r="S43" s="120">
        <f t="shared" si="25"/>
        <v>0</v>
      </c>
      <c r="T43" s="5"/>
      <c r="U43" s="36" t="s">
        <v>301</v>
      </c>
      <c r="V43" s="5"/>
      <c r="W43" s="28"/>
      <c r="X43" s="185">
        <f ca="1">IFERROR(X42/X50,0)</f>
        <v>0</v>
      </c>
      <c r="Y43" s="76"/>
      <c r="Z43" s="93"/>
      <c r="AA43" s="120"/>
      <c r="AB43" s="5"/>
      <c r="AC43" s="36" t="str">
        <f t="shared" si="1"/>
        <v>Debt Service Coverage Ratio</v>
      </c>
      <c r="AD43" s="5"/>
      <c r="AE43" s="5"/>
      <c r="AF43" s="35"/>
      <c r="AG43" s="35"/>
      <c r="AH43" s="35"/>
      <c r="AI43" s="231">
        <f t="shared" ref="AI43:AW43" ca="1" si="31">IFERROR(AI42/AI50,0)</f>
        <v>0</v>
      </c>
      <c r="AJ43" s="231">
        <f t="shared" ca="1" si="31"/>
        <v>0</v>
      </c>
      <c r="AK43" s="231">
        <f t="shared" ca="1" si="31"/>
        <v>0</v>
      </c>
      <c r="AL43" s="231">
        <f t="shared" ca="1" si="31"/>
        <v>0</v>
      </c>
      <c r="AM43" s="231">
        <f t="shared" ca="1" si="31"/>
        <v>0</v>
      </c>
      <c r="AN43" s="231">
        <f t="shared" ca="1" si="31"/>
        <v>0</v>
      </c>
      <c r="AO43" s="231">
        <f t="shared" ca="1" si="31"/>
        <v>0</v>
      </c>
      <c r="AP43" s="231">
        <f t="shared" ca="1" si="31"/>
        <v>0</v>
      </c>
      <c r="AQ43" s="231">
        <f t="shared" ca="1" si="31"/>
        <v>0</v>
      </c>
      <c r="AR43" s="231">
        <f t="shared" ca="1" si="31"/>
        <v>0</v>
      </c>
      <c r="AS43" s="231">
        <f t="shared" ca="1" si="31"/>
        <v>0</v>
      </c>
      <c r="AT43" s="231">
        <f t="shared" ca="1" si="31"/>
        <v>0</v>
      </c>
      <c r="AU43" s="231">
        <f t="shared" ca="1" si="31"/>
        <v>0</v>
      </c>
      <c r="AV43" s="231">
        <f t="shared" ca="1" si="31"/>
        <v>0</v>
      </c>
      <c r="AW43" s="232">
        <f t="shared" ca="1" si="31"/>
        <v>0</v>
      </c>
    </row>
    <row r="44" spans="2:49" x14ac:dyDescent="0.3">
      <c r="B44" s="501"/>
      <c r="C44" s="5"/>
      <c r="D44" s="5"/>
      <c r="E44" s="28"/>
      <c r="F44" s="76"/>
      <c r="G44" s="76"/>
      <c r="H44" s="93"/>
      <c r="I44" s="120"/>
      <c r="J44" s="5"/>
      <c r="K44" s="501" t="s">
        <v>191</v>
      </c>
      <c r="L44" s="5"/>
      <c r="M44" s="151"/>
      <c r="N44" s="152"/>
      <c r="O44" s="148"/>
      <c r="P44" s="213">
        <v>0</v>
      </c>
      <c r="Q44" s="76">
        <f>IFERROR($P44/Overview!$D$31,0)</f>
        <v>0</v>
      </c>
      <c r="R44" s="93">
        <f>IFERROR($P44/Overview!$D$30,0)</f>
        <v>0</v>
      </c>
      <c r="S44" s="120">
        <f t="shared" si="25"/>
        <v>0</v>
      </c>
      <c r="T44" s="5"/>
      <c r="U44" s="104"/>
      <c r="V44" s="5"/>
      <c r="W44" s="28"/>
      <c r="X44" s="76"/>
      <c r="Y44" s="76"/>
      <c r="Z44" s="93"/>
      <c r="AA44" s="120"/>
      <c r="AB44" s="5"/>
      <c r="AC44" s="104" t="str">
        <f t="shared" si="1"/>
        <v/>
      </c>
      <c r="AD44" s="5"/>
      <c r="AE44" s="5"/>
      <c r="AF44" s="35"/>
      <c r="AG44" s="35"/>
      <c r="AH44" s="35"/>
      <c r="AI44" s="35"/>
      <c r="AJ44" s="35"/>
      <c r="AK44" s="35"/>
      <c r="AL44" s="35"/>
      <c r="AM44" s="35"/>
      <c r="AN44" s="35"/>
      <c r="AO44" s="35"/>
      <c r="AP44" s="35"/>
      <c r="AQ44" s="35"/>
      <c r="AR44" s="35"/>
      <c r="AS44" s="35"/>
      <c r="AT44" s="35"/>
      <c r="AU44" s="35"/>
      <c r="AV44" s="35"/>
      <c r="AW44" s="29"/>
    </row>
    <row r="45" spans="2:49" x14ac:dyDescent="0.3">
      <c r="B45" s="57" t="s">
        <v>192</v>
      </c>
      <c r="C45" s="51"/>
      <c r="D45" s="51"/>
      <c r="E45" s="226" t="str">
        <f>IFERROR(IF(Overview!#REF!="Occupied Rehab",$G$45&gt;=5000,$G$45&gt;=15000),"NA")</f>
        <v>NA</v>
      </c>
      <c r="F45" s="114">
        <f>SUM(F43,F31)</f>
        <v>0</v>
      </c>
      <c r="G45" s="114">
        <f>IFERROR($F45/Overview!$D$31,0)</f>
        <v>0</v>
      </c>
      <c r="H45" s="109">
        <f>IFERROR($F45/Overview!$D$30,0)</f>
        <v>0</v>
      </c>
      <c r="I45" s="121">
        <f>IFERROR($F45/$F$117,0)</f>
        <v>0</v>
      </c>
      <c r="J45" s="5"/>
      <c r="K45" s="501" t="s">
        <v>193</v>
      </c>
      <c r="L45" s="5"/>
      <c r="M45" s="151"/>
      <c r="N45" s="152"/>
      <c r="O45" s="148"/>
      <c r="P45" s="213">
        <v>0</v>
      </c>
      <c r="Q45" s="76">
        <f>IFERROR($P45/Overview!$D$31,0)</f>
        <v>0</v>
      </c>
      <c r="R45" s="93">
        <f>IFERROR($P45/Overview!$D$30,0)</f>
        <v>0</v>
      </c>
      <c r="S45" s="120">
        <f t="shared" si="25"/>
        <v>0</v>
      </c>
      <c r="T45" s="5"/>
      <c r="U45" s="45" t="s">
        <v>302</v>
      </c>
      <c r="V45" s="46"/>
      <c r="W45" s="47"/>
      <c r="X45" s="113"/>
      <c r="Y45" s="113"/>
      <c r="Z45" s="108"/>
      <c r="AA45" s="122"/>
      <c r="AB45" s="5"/>
      <c r="AC45" s="45" t="str">
        <f t="shared" si="1"/>
        <v>Debt Services</v>
      </c>
      <c r="AD45" s="46"/>
      <c r="AE45" s="46"/>
      <c r="AF45" s="48"/>
      <c r="AG45" s="48"/>
      <c r="AH45" s="48"/>
      <c r="AI45" s="48"/>
      <c r="AJ45" s="48"/>
      <c r="AK45" s="48"/>
      <c r="AL45" s="48"/>
      <c r="AM45" s="48"/>
      <c r="AN45" s="48"/>
      <c r="AO45" s="48"/>
      <c r="AP45" s="48"/>
      <c r="AQ45" s="48"/>
      <c r="AR45" s="48"/>
      <c r="AS45" s="48"/>
      <c r="AT45" s="48"/>
      <c r="AU45" s="48"/>
      <c r="AV45" s="48"/>
      <c r="AW45" s="49"/>
    </row>
    <row r="46" spans="2:49" x14ac:dyDescent="0.3">
      <c r="B46" s="501"/>
      <c r="C46" s="5"/>
      <c r="D46" s="5"/>
      <c r="E46" s="28"/>
      <c r="F46" s="76"/>
      <c r="G46" s="76"/>
      <c r="H46" s="93"/>
      <c r="I46" s="120"/>
      <c r="J46" s="5"/>
      <c r="K46" s="501" t="s">
        <v>47</v>
      </c>
      <c r="L46" s="5"/>
      <c r="M46" s="151"/>
      <c r="N46" s="152"/>
      <c r="O46" s="148"/>
      <c r="P46" s="213">
        <v>0</v>
      </c>
      <c r="Q46" s="76">
        <f>IFERROR($P46/Overview!$D$31,0)</f>
        <v>0</v>
      </c>
      <c r="R46" s="93">
        <f>IFERROR($P46/Overview!$D$30,0)</f>
        <v>0</v>
      </c>
      <c r="S46" s="120">
        <f t="shared" si="25"/>
        <v>0</v>
      </c>
      <c r="T46" s="5"/>
      <c r="U46" s="501" t="str">
        <f>$K37</f>
        <v>Senior Permanent Loan</v>
      </c>
      <c r="V46" s="5"/>
      <c r="W46" s="28"/>
      <c r="X46" s="76">
        <f>IF($M37="Amortizing",-PMT($N37/12,$O37*12,$P37)*12,
IF($M37="Interest-Only",$P37*$N37,0))</f>
        <v>0</v>
      </c>
      <c r="Y46" s="76">
        <f>IFERROR($X46/Overview!$D$31,0)</f>
        <v>0</v>
      </c>
      <c r="Z46" s="93">
        <f>IFERROR($X46/Overview!$D$30,0)</f>
        <v>0</v>
      </c>
      <c r="AA46" s="120">
        <f ca="1">IFERROR($X46/$X$20,0)</f>
        <v>0</v>
      </c>
      <c r="AB46" s="5"/>
      <c r="AC46" s="501" t="str">
        <f t="shared" si="1"/>
        <v>Senior Permanent Loan</v>
      </c>
      <c r="AD46" s="5"/>
      <c r="AE46" s="5"/>
      <c r="AF46" s="35"/>
      <c r="AG46" s="35"/>
      <c r="AH46" s="35"/>
      <c r="AI46" s="76">
        <f t="shared" ref="AI46:AW49" si="32">$X46</f>
        <v>0</v>
      </c>
      <c r="AJ46" s="76">
        <f t="shared" si="32"/>
        <v>0</v>
      </c>
      <c r="AK46" s="76">
        <f t="shared" si="32"/>
        <v>0</v>
      </c>
      <c r="AL46" s="76">
        <f t="shared" si="32"/>
        <v>0</v>
      </c>
      <c r="AM46" s="76">
        <f t="shared" si="32"/>
        <v>0</v>
      </c>
      <c r="AN46" s="76">
        <f t="shared" si="32"/>
        <v>0</v>
      </c>
      <c r="AO46" s="76">
        <f t="shared" si="32"/>
        <v>0</v>
      </c>
      <c r="AP46" s="76">
        <f t="shared" si="32"/>
        <v>0</v>
      </c>
      <c r="AQ46" s="76">
        <f t="shared" si="32"/>
        <v>0</v>
      </c>
      <c r="AR46" s="76">
        <f t="shared" si="32"/>
        <v>0</v>
      </c>
      <c r="AS46" s="76">
        <f t="shared" si="32"/>
        <v>0</v>
      </c>
      <c r="AT46" s="76">
        <f t="shared" si="32"/>
        <v>0</v>
      </c>
      <c r="AU46" s="76">
        <f t="shared" si="32"/>
        <v>0</v>
      </c>
      <c r="AV46" s="76">
        <f t="shared" si="32"/>
        <v>0</v>
      </c>
      <c r="AW46" s="89">
        <f t="shared" si="32"/>
        <v>0</v>
      </c>
    </row>
    <row r="47" spans="2:49" x14ac:dyDescent="0.3">
      <c r="B47" s="45" t="s">
        <v>73</v>
      </c>
      <c r="C47" s="46"/>
      <c r="D47" s="46"/>
      <c r="E47" s="47"/>
      <c r="F47" s="113"/>
      <c r="G47" s="113"/>
      <c r="H47" s="108"/>
      <c r="I47" s="122"/>
      <c r="J47" s="5"/>
      <c r="K47" s="501" t="s">
        <v>172</v>
      </c>
      <c r="L47" s="5"/>
      <c r="M47" s="151"/>
      <c r="N47" s="152"/>
      <c r="O47" s="148"/>
      <c r="P47" s="213">
        <v>0</v>
      </c>
      <c r="Q47" s="76">
        <f>IFERROR($P47/Overview!$D$31,0)</f>
        <v>0</v>
      </c>
      <c r="R47" s="93">
        <f>IFERROR($P47/Overview!$D$30,0)</f>
        <v>0</v>
      </c>
      <c r="S47" s="120">
        <f t="shared" si="25"/>
        <v>0</v>
      </c>
      <c r="T47" s="5"/>
      <c r="U47" s="501" t="str">
        <f>$K38</f>
        <v>Mezzanine Loan A</v>
      </c>
      <c r="V47" s="5"/>
      <c r="W47" s="28"/>
      <c r="X47" s="76">
        <f>IF($M38="Amortizing",-PMT($N38/12,$O38*12,$P38)*12,
IF($M38="Interest-Only",$P38*$N38,0))</f>
        <v>0</v>
      </c>
      <c r="Y47" s="76">
        <f>IFERROR($X47/Overview!$D$31,0)</f>
        <v>0</v>
      </c>
      <c r="Z47" s="93">
        <f>IFERROR($X47/Overview!$D$30,0)</f>
        <v>0</v>
      </c>
      <c r="AA47" s="120">
        <f ca="1">IFERROR($X47/$X$20,0)</f>
        <v>0</v>
      </c>
      <c r="AB47" s="5"/>
      <c r="AC47" s="501" t="str">
        <f t="shared" si="1"/>
        <v>Mezzanine Loan A</v>
      </c>
      <c r="AD47" s="5"/>
      <c r="AE47" s="5"/>
      <c r="AF47" s="35"/>
      <c r="AG47" s="35"/>
      <c r="AH47" s="35"/>
      <c r="AI47" s="76">
        <f t="shared" si="32"/>
        <v>0</v>
      </c>
      <c r="AJ47" s="76">
        <f t="shared" si="32"/>
        <v>0</v>
      </c>
      <c r="AK47" s="76">
        <f t="shared" si="32"/>
        <v>0</v>
      </c>
      <c r="AL47" s="76">
        <f t="shared" si="32"/>
        <v>0</v>
      </c>
      <c r="AM47" s="76">
        <f t="shared" si="32"/>
        <v>0</v>
      </c>
      <c r="AN47" s="76">
        <f t="shared" si="32"/>
        <v>0</v>
      </c>
      <c r="AO47" s="76">
        <f t="shared" si="32"/>
        <v>0</v>
      </c>
      <c r="AP47" s="76">
        <f t="shared" si="32"/>
        <v>0</v>
      </c>
      <c r="AQ47" s="76">
        <f t="shared" si="32"/>
        <v>0</v>
      </c>
      <c r="AR47" s="76">
        <f t="shared" si="32"/>
        <v>0</v>
      </c>
      <c r="AS47" s="76">
        <f t="shared" si="32"/>
        <v>0</v>
      </c>
      <c r="AT47" s="76">
        <f t="shared" si="32"/>
        <v>0</v>
      </c>
      <c r="AU47" s="76">
        <f t="shared" si="32"/>
        <v>0</v>
      </c>
      <c r="AV47" s="76">
        <f t="shared" si="32"/>
        <v>0</v>
      </c>
      <c r="AW47" s="89">
        <f t="shared" si="32"/>
        <v>0</v>
      </c>
    </row>
    <row r="48" spans="2:49" x14ac:dyDescent="0.3">
      <c r="B48" s="54" t="s">
        <v>194</v>
      </c>
      <c r="C48" s="5"/>
      <c r="D48" s="5"/>
      <c r="E48" s="28"/>
      <c r="F48" s="76"/>
      <c r="G48" s="76"/>
      <c r="H48" s="93"/>
      <c r="I48" s="120"/>
      <c r="J48" s="5"/>
      <c r="K48" s="501" t="s">
        <v>174</v>
      </c>
      <c r="L48" s="5"/>
      <c r="M48" s="151"/>
      <c r="N48" s="152"/>
      <c r="O48" s="148"/>
      <c r="P48" s="213">
        <v>0</v>
      </c>
      <c r="Q48" s="76">
        <f>IFERROR($P48/Overview!$D$31,0)</f>
        <v>0</v>
      </c>
      <c r="R48" s="93">
        <f>IFERROR($P48/Overview!$D$30,0)</f>
        <v>0</v>
      </c>
      <c r="S48" s="120">
        <f t="shared" si="25"/>
        <v>0</v>
      </c>
      <c r="T48" s="5"/>
      <c r="U48" s="501" t="str">
        <f>$K39</f>
        <v>Mezzanine Loan B</v>
      </c>
      <c r="V48" s="5"/>
      <c r="W48" s="28"/>
      <c r="X48" s="76">
        <f>IF($M39="Amortizing",-PMT($N39/12,$O39*12,$P39)*12,
IF($M39="Interest-Only",$P39*$N39,0))</f>
        <v>0</v>
      </c>
      <c r="Y48" s="76">
        <f>IFERROR($X48/Overview!$D$31,0)</f>
        <v>0</v>
      </c>
      <c r="Z48" s="93">
        <f>IFERROR($X48/Overview!$D$30,0)</f>
        <v>0</v>
      </c>
      <c r="AA48" s="120">
        <f ca="1">IFERROR($X48/$X$20,0)</f>
        <v>0</v>
      </c>
      <c r="AB48" s="5"/>
      <c r="AC48" s="501" t="str">
        <f t="shared" si="1"/>
        <v>Mezzanine Loan B</v>
      </c>
      <c r="AD48" s="5"/>
      <c r="AE48" s="5"/>
      <c r="AF48" s="35"/>
      <c r="AG48" s="35"/>
      <c r="AH48" s="35"/>
      <c r="AI48" s="76">
        <f t="shared" si="32"/>
        <v>0</v>
      </c>
      <c r="AJ48" s="76">
        <f t="shared" si="32"/>
        <v>0</v>
      </c>
      <c r="AK48" s="76">
        <f t="shared" si="32"/>
        <v>0</v>
      </c>
      <c r="AL48" s="76">
        <f t="shared" si="32"/>
        <v>0</v>
      </c>
      <c r="AM48" s="76">
        <f t="shared" si="32"/>
        <v>0</v>
      </c>
      <c r="AN48" s="76">
        <f t="shared" si="32"/>
        <v>0</v>
      </c>
      <c r="AO48" s="76">
        <f t="shared" si="32"/>
        <v>0</v>
      </c>
      <c r="AP48" s="76">
        <f t="shared" si="32"/>
        <v>0</v>
      </c>
      <c r="AQ48" s="76">
        <f t="shared" si="32"/>
        <v>0</v>
      </c>
      <c r="AR48" s="76">
        <f t="shared" si="32"/>
        <v>0</v>
      </c>
      <c r="AS48" s="76">
        <f t="shared" si="32"/>
        <v>0</v>
      </c>
      <c r="AT48" s="76">
        <f t="shared" si="32"/>
        <v>0</v>
      </c>
      <c r="AU48" s="76">
        <f t="shared" si="32"/>
        <v>0</v>
      </c>
      <c r="AV48" s="76">
        <f t="shared" si="32"/>
        <v>0</v>
      </c>
      <c r="AW48" s="89">
        <f t="shared" si="32"/>
        <v>0</v>
      </c>
    </row>
    <row r="49" spans="2:49" x14ac:dyDescent="0.3">
      <c r="B49" s="36" t="s">
        <v>195</v>
      </c>
      <c r="C49" s="5"/>
      <c r="D49" s="5"/>
      <c r="E49" s="28"/>
      <c r="F49" s="202">
        <v>0</v>
      </c>
      <c r="G49" s="76">
        <f>IFERROR($F49/Overview!$D$31,0)</f>
        <v>0</v>
      </c>
      <c r="H49" s="93">
        <f>IFERROR($F49/Overview!$D$30,0)</f>
        <v>0</v>
      </c>
      <c r="I49" s="120">
        <f t="shared" ref="I49:I56" si="33">IFERROR($F49/$F$117,0)</f>
        <v>0</v>
      </c>
      <c r="J49" s="5"/>
      <c r="K49" s="501" t="s">
        <v>176</v>
      </c>
      <c r="L49" s="5"/>
      <c r="M49" s="151"/>
      <c r="N49" s="152"/>
      <c r="O49" s="148"/>
      <c r="P49" s="184">
        <f>$P$58-SUM($P$37:$P$48,$P$50:$P$51)</f>
        <v>0</v>
      </c>
      <c r="Q49" s="76">
        <f>IFERROR($P49/Overview!$D$31,0)</f>
        <v>0</v>
      </c>
      <c r="R49" s="93">
        <f>IFERROR($P49/Overview!$D$30,0)</f>
        <v>0</v>
      </c>
      <c r="S49" s="120">
        <f t="shared" si="25"/>
        <v>0</v>
      </c>
      <c r="T49" s="5"/>
      <c r="U49" s="501" t="str">
        <f>$K40</f>
        <v>Mezzanine Loan C</v>
      </c>
      <c r="V49" s="5"/>
      <c r="W49" s="28"/>
      <c r="X49" s="76">
        <f>IF($M40="Amortizing",-PMT($N40/12,$O40*12,$P40)*12,
IF($M40="Interest-Only",$P40*$N40,0))</f>
        <v>0</v>
      </c>
      <c r="Y49" s="76">
        <f>IFERROR($X49/Overview!$D$31,0)</f>
        <v>0</v>
      </c>
      <c r="Z49" s="93">
        <f>IFERROR($X49/Overview!$D$30,0)</f>
        <v>0</v>
      </c>
      <c r="AA49" s="120">
        <f ca="1">IFERROR($X49/$X$20,0)</f>
        <v>0</v>
      </c>
      <c r="AB49" s="5"/>
      <c r="AC49" s="501" t="str">
        <f t="shared" si="1"/>
        <v>Mezzanine Loan C</v>
      </c>
      <c r="AD49" s="5"/>
      <c r="AE49" s="5"/>
      <c r="AF49" s="35"/>
      <c r="AG49" s="35"/>
      <c r="AH49" s="35"/>
      <c r="AI49" s="76">
        <f t="shared" si="32"/>
        <v>0</v>
      </c>
      <c r="AJ49" s="76">
        <f t="shared" si="32"/>
        <v>0</v>
      </c>
      <c r="AK49" s="76">
        <f t="shared" si="32"/>
        <v>0</v>
      </c>
      <c r="AL49" s="76">
        <f t="shared" si="32"/>
        <v>0</v>
      </c>
      <c r="AM49" s="76">
        <f t="shared" si="32"/>
        <v>0</v>
      </c>
      <c r="AN49" s="76">
        <f t="shared" si="32"/>
        <v>0</v>
      </c>
      <c r="AO49" s="76">
        <f t="shared" si="32"/>
        <v>0</v>
      </c>
      <c r="AP49" s="76">
        <f t="shared" si="32"/>
        <v>0</v>
      </c>
      <c r="AQ49" s="76">
        <f t="shared" si="32"/>
        <v>0</v>
      </c>
      <c r="AR49" s="76">
        <f t="shared" si="32"/>
        <v>0</v>
      </c>
      <c r="AS49" s="76">
        <f t="shared" si="32"/>
        <v>0</v>
      </c>
      <c r="AT49" s="76">
        <f t="shared" si="32"/>
        <v>0</v>
      </c>
      <c r="AU49" s="76">
        <f t="shared" si="32"/>
        <v>0</v>
      </c>
      <c r="AV49" s="76">
        <f t="shared" si="32"/>
        <v>0</v>
      </c>
      <c r="AW49" s="89">
        <f t="shared" si="32"/>
        <v>0</v>
      </c>
    </row>
    <row r="50" spans="2:49" x14ac:dyDescent="0.3">
      <c r="B50" s="36" t="s">
        <v>196</v>
      </c>
      <c r="C50" s="5"/>
      <c r="D50" s="5"/>
      <c r="E50" s="28"/>
      <c r="F50" s="202">
        <v>0</v>
      </c>
      <c r="G50" s="76">
        <f>IFERROR($F50/Overview!$D$31,0)</f>
        <v>0</v>
      </c>
      <c r="H50" s="93">
        <f>IFERROR($F50/Overview!$D$30,0)</f>
        <v>0</v>
      </c>
      <c r="I50" s="120">
        <f t="shared" si="33"/>
        <v>0</v>
      </c>
      <c r="J50" s="5"/>
      <c r="K50" s="188" t="s">
        <v>197</v>
      </c>
      <c r="L50" s="207"/>
      <c r="M50" s="151"/>
      <c r="N50" s="152"/>
      <c r="O50" s="148"/>
      <c r="P50" s="213">
        <v>0</v>
      </c>
      <c r="Q50" s="76">
        <f>IFERROR($P50/Overview!$D$31,0)</f>
        <v>0</v>
      </c>
      <c r="R50" s="93">
        <f>IFERROR($P50/Overview!$D$30,0)</f>
        <v>0</v>
      </c>
      <c r="S50" s="120">
        <f t="shared" si="25"/>
        <v>0</v>
      </c>
      <c r="T50" s="5"/>
      <c r="U50" s="41" t="s">
        <v>303</v>
      </c>
      <c r="V50" s="44"/>
      <c r="W50" s="42"/>
      <c r="X50" s="82">
        <f>SUM(X46:X49)</f>
        <v>0</v>
      </c>
      <c r="Y50" s="82">
        <f>IFERROR($X50/Overview!$D$31,0)</f>
        <v>0</v>
      </c>
      <c r="Z50" s="81">
        <f>IFERROR($X50/Overview!$D$30,0)</f>
        <v>0</v>
      </c>
      <c r="AA50" s="123">
        <f ca="1">IFERROR($X50/$X$20,0)</f>
        <v>0</v>
      </c>
      <c r="AB50" s="5"/>
      <c r="AC50" s="41" t="str">
        <f t="shared" si="1"/>
        <v>Total Debt Service</v>
      </c>
      <c r="AD50" s="44"/>
      <c r="AE50" s="44"/>
      <c r="AF50" s="43"/>
      <c r="AG50" s="43"/>
      <c r="AH50" s="43"/>
      <c r="AI50" s="82">
        <f t="shared" ref="AI50:AW50" si="34">SUM(AI46:AI49)</f>
        <v>0</v>
      </c>
      <c r="AJ50" s="82">
        <f t="shared" si="34"/>
        <v>0</v>
      </c>
      <c r="AK50" s="82">
        <f t="shared" si="34"/>
        <v>0</v>
      </c>
      <c r="AL50" s="82">
        <f t="shared" si="34"/>
        <v>0</v>
      </c>
      <c r="AM50" s="82">
        <f t="shared" si="34"/>
        <v>0</v>
      </c>
      <c r="AN50" s="82">
        <f t="shared" si="34"/>
        <v>0</v>
      </c>
      <c r="AO50" s="82">
        <f t="shared" si="34"/>
        <v>0</v>
      </c>
      <c r="AP50" s="82">
        <f t="shared" si="34"/>
        <v>0</v>
      </c>
      <c r="AQ50" s="82">
        <f t="shared" si="34"/>
        <v>0</v>
      </c>
      <c r="AR50" s="82">
        <f t="shared" si="34"/>
        <v>0</v>
      </c>
      <c r="AS50" s="82">
        <f t="shared" si="34"/>
        <v>0</v>
      </c>
      <c r="AT50" s="82">
        <f t="shared" si="34"/>
        <v>0</v>
      </c>
      <c r="AU50" s="82">
        <f t="shared" si="34"/>
        <v>0</v>
      </c>
      <c r="AV50" s="82">
        <f t="shared" si="34"/>
        <v>0</v>
      </c>
      <c r="AW50" s="90">
        <f t="shared" si="34"/>
        <v>0</v>
      </c>
    </row>
    <row r="51" spans="2:49" x14ac:dyDescent="0.3">
      <c r="B51" s="36" t="s">
        <v>198</v>
      </c>
      <c r="C51" s="5"/>
      <c r="D51" s="5"/>
      <c r="E51" s="28"/>
      <c r="F51" s="202">
        <v>0</v>
      </c>
      <c r="G51" s="76">
        <f>IFERROR($F51/Overview!$D$31,0)</f>
        <v>0</v>
      </c>
      <c r="H51" s="93">
        <f>IFERROR($F51/Overview!$D$30,0)</f>
        <v>0</v>
      </c>
      <c r="I51" s="120">
        <f t="shared" si="33"/>
        <v>0</v>
      </c>
      <c r="J51" s="5"/>
      <c r="K51" s="188" t="s">
        <v>197</v>
      </c>
      <c r="L51" s="207"/>
      <c r="M51" s="151"/>
      <c r="N51" s="152"/>
      <c r="O51" s="148"/>
      <c r="P51" s="213">
        <v>0</v>
      </c>
      <c r="Q51" s="76">
        <f>IFERROR($P51/Overview!$D$31,0)</f>
        <v>0</v>
      </c>
      <c r="R51" s="93">
        <f>IFERROR($P51/Overview!$D$30,0)</f>
        <v>0</v>
      </c>
      <c r="S51" s="120">
        <f t="shared" si="25"/>
        <v>0</v>
      </c>
      <c r="T51" s="5"/>
      <c r="U51" s="104"/>
      <c r="V51" s="5"/>
      <c r="W51" s="28"/>
      <c r="X51" s="35"/>
      <c r="Y51" s="35"/>
      <c r="Z51" s="93"/>
      <c r="AA51" s="120"/>
      <c r="AB51" s="5"/>
      <c r="AC51" s="104" t="str">
        <f t="shared" si="1"/>
        <v/>
      </c>
      <c r="AD51" s="5"/>
      <c r="AE51" s="5"/>
      <c r="AF51" s="35"/>
      <c r="AG51" s="35"/>
      <c r="AH51" s="35"/>
      <c r="AI51" s="35"/>
      <c r="AJ51" s="35"/>
      <c r="AK51" s="35"/>
      <c r="AL51" s="35"/>
      <c r="AM51" s="35"/>
      <c r="AN51" s="35"/>
      <c r="AO51" s="35"/>
      <c r="AP51" s="35"/>
      <c r="AQ51" s="35"/>
      <c r="AR51" s="35"/>
      <c r="AS51" s="35"/>
      <c r="AT51" s="35"/>
      <c r="AU51" s="35"/>
      <c r="AV51" s="35"/>
      <c r="AW51" s="29"/>
    </row>
    <row r="52" spans="2:49" ht="14.4" thickBot="1" x14ac:dyDescent="0.35">
      <c r="B52" s="36" t="s">
        <v>199</v>
      </c>
      <c r="C52" s="5"/>
      <c r="D52" s="5"/>
      <c r="E52" s="28"/>
      <c r="F52" s="202">
        <v>0</v>
      </c>
      <c r="G52" s="76">
        <f>IFERROR($F52/Overview!$D$31,0)</f>
        <v>0</v>
      </c>
      <c r="H52" s="93">
        <f>IFERROR($F52/Overview!$D$30,0)</f>
        <v>0</v>
      </c>
      <c r="I52" s="120">
        <f t="shared" si="33"/>
        <v>0</v>
      </c>
      <c r="J52" s="5"/>
      <c r="K52" s="41" t="s">
        <v>67</v>
      </c>
      <c r="L52" s="44"/>
      <c r="M52" s="153"/>
      <c r="N52" s="154"/>
      <c r="O52" s="155"/>
      <c r="P52" s="98">
        <f>SUM(P37:P51)</f>
        <v>0</v>
      </c>
      <c r="Q52" s="82">
        <f>IFERROR($P52/Overview!$D$31,0)</f>
        <v>0</v>
      </c>
      <c r="R52" s="81">
        <f>IFERROR($P52/Overview!$D$30,0)</f>
        <v>0</v>
      </c>
      <c r="S52" s="123">
        <f t="shared" si="25"/>
        <v>0</v>
      </c>
      <c r="T52" s="5"/>
      <c r="U52" s="159" t="s">
        <v>304</v>
      </c>
      <c r="V52" s="157"/>
      <c r="W52" s="160"/>
      <c r="X52" s="162">
        <f ca="1">IFERROR(X42-X50,0)</f>
        <v>0</v>
      </c>
      <c r="Y52" s="162">
        <f ca="1">IFERROR($X52/Overview!$D$31,0)</f>
        <v>0</v>
      </c>
      <c r="Z52" s="163">
        <f ca="1">IFERROR($X52/Overview!$D$30,0)</f>
        <v>0</v>
      </c>
      <c r="AA52" s="161">
        <f ca="1">IFERROR($X52/$X$20,0)</f>
        <v>0</v>
      </c>
      <c r="AB52" s="5"/>
      <c r="AC52" s="159" t="str">
        <f t="shared" si="1"/>
        <v>Cash Flow After Debt Service</v>
      </c>
      <c r="AD52" s="157"/>
      <c r="AE52" s="157"/>
      <c r="AF52" s="236"/>
      <c r="AG52" s="236"/>
      <c r="AH52" s="236"/>
      <c r="AI52" s="162">
        <f t="shared" ref="AI52:AW52" ca="1" si="35">AI42-AI50</f>
        <v>0</v>
      </c>
      <c r="AJ52" s="162">
        <f t="shared" ca="1" si="35"/>
        <v>0</v>
      </c>
      <c r="AK52" s="162">
        <f t="shared" ca="1" si="35"/>
        <v>0</v>
      </c>
      <c r="AL52" s="162">
        <f t="shared" ca="1" si="35"/>
        <v>0</v>
      </c>
      <c r="AM52" s="162">
        <f t="shared" ca="1" si="35"/>
        <v>0</v>
      </c>
      <c r="AN52" s="162">
        <f t="shared" ca="1" si="35"/>
        <v>0</v>
      </c>
      <c r="AO52" s="162">
        <f t="shared" ca="1" si="35"/>
        <v>0</v>
      </c>
      <c r="AP52" s="162">
        <f t="shared" ca="1" si="35"/>
        <v>0</v>
      </c>
      <c r="AQ52" s="162">
        <f t="shared" ca="1" si="35"/>
        <v>0</v>
      </c>
      <c r="AR52" s="162">
        <f t="shared" ca="1" si="35"/>
        <v>0</v>
      </c>
      <c r="AS52" s="162">
        <f t="shared" ca="1" si="35"/>
        <v>0</v>
      </c>
      <c r="AT52" s="162">
        <f t="shared" ca="1" si="35"/>
        <v>0</v>
      </c>
      <c r="AU52" s="162">
        <f t="shared" ca="1" si="35"/>
        <v>0</v>
      </c>
      <c r="AV52" s="162">
        <f t="shared" ca="1" si="35"/>
        <v>0</v>
      </c>
      <c r="AW52" s="237">
        <f t="shared" ca="1" si="35"/>
        <v>0</v>
      </c>
    </row>
    <row r="53" spans="2:49" ht="14.4" thickTop="1" x14ac:dyDescent="0.3">
      <c r="B53" s="36" t="s">
        <v>200</v>
      </c>
      <c r="C53" s="5"/>
      <c r="D53" s="5"/>
      <c r="E53" s="28"/>
      <c r="F53" s="202">
        <v>0</v>
      </c>
      <c r="G53" s="76">
        <f>IFERROR($F53/Overview!$D$31,0)</f>
        <v>0</v>
      </c>
      <c r="H53" s="93">
        <f>IFERROR($F53/Overview!$D$30,0)</f>
        <v>0</v>
      </c>
      <c r="I53" s="120">
        <f t="shared" si="33"/>
        <v>0</v>
      </c>
      <c r="J53" s="5"/>
      <c r="K53" s="104"/>
      <c r="L53" s="5"/>
      <c r="M53" s="151"/>
      <c r="N53" s="152"/>
      <c r="O53" s="148"/>
      <c r="P53" s="97" t="b">
        <f>P52=$P$58</f>
        <v>1</v>
      </c>
      <c r="Q53" s="76"/>
      <c r="R53" s="93"/>
      <c r="S53" s="120"/>
      <c r="T53" s="5"/>
      <c r="U53" s="217"/>
      <c r="V53" s="218"/>
      <c r="W53" s="219"/>
      <c r="X53" s="220"/>
      <c r="Y53" s="220"/>
      <c r="Z53" s="220"/>
      <c r="AA53" s="221"/>
      <c r="AB53" s="5"/>
      <c r="AC53" s="104" t="str">
        <f t="shared" si="1"/>
        <v/>
      </c>
      <c r="AD53" s="5"/>
      <c r="AE53" s="5"/>
      <c r="AF53" s="35"/>
      <c r="AG53" s="35"/>
      <c r="AH53" s="35"/>
      <c r="AI53" s="35"/>
      <c r="AJ53" s="35"/>
      <c r="AK53" s="35"/>
      <c r="AL53" s="35"/>
      <c r="AM53" s="35"/>
      <c r="AN53" s="35"/>
      <c r="AO53" s="35"/>
      <c r="AP53" s="35"/>
      <c r="AQ53" s="35"/>
      <c r="AR53" s="35"/>
      <c r="AS53" s="35"/>
      <c r="AT53" s="35"/>
      <c r="AU53" s="35"/>
      <c r="AV53" s="35"/>
      <c r="AW53" s="29"/>
    </row>
    <row r="54" spans="2:49" x14ac:dyDescent="0.3">
      <c r="B54" s="36" t="s">
        <v>201</v>
      </c>
      <c r="C54" s="5"/>
      <c r="D54" s="5"/>
      <c r="E54" s="28"/>
      <c r="F54" s="202">
        <v>0</v>
      </c>
      <c r="G54" s="76">
        <f>IFERROR($F54/Overview!$D$31,0)</f>
        <v>0</v>
      </c>
      <c r="H54" s="93">
        <f>IFERROR($F54/Overview!$D$30,0)</f>
        <v>0</v>
      </c>
      <c r="I54" s="120">
        <f t="shared" si="33"/>
        <v>0</v>
      </c>
      <c r="J54" s="5"/>
      <c r="K54" s="45" t="s">
        <v>69</v>
      </c>
      <c r="L54" s="46"/>
      <c r="M54" s="139"/>
      <c r="N54" s="133"/>
      <c r="O54" s="140"/>
      <c r="P54" s="143"/>
      <c r="Q54" s="113"/>
      <c r="R54" s="108"/>
      <c r="S54" s="122"/>
      <c r="T54" s="5"/>
      <c r="U54" s="45" t="s">
        <v>305</v>
      </c>
      <c r="V54" s="46"/>
      <c r="W54" s="47"/>
      <c r="X54" s="113"/>
      <c r="Y54" s="113"/>
      <c r="Z54" s="108"/>
      <c r="AA54" s="122"/>
      <c r="AB54" s="5"/>
      <c r="AC54" s="45" t="str">
        <f t="shared" si="1"/>
        <v>Return Metrics</v>
      </c>
      <c r="AD54" s="46"/>
      <c r="AE54" s="46"/>
      <c r="AF54" s="239" t="s">
        <v>306</v>
      </c>
      <c r="AG54" s="239"/>
      <c r="AH54" s="239"/>
      <c r="AI54" s="48"/>
      <c r="AJ54" s="48"/>
      <c r="AK54" s="48"/>
      <c r="AL54" s="48"/>
      <c r="AM54" s="48"/>
      <c r="AN54" s="48"/>
      <c r="AO54" s="48"/>
      <c r="AP54" s="48"/>
      <c r="AQ54" s="48"/>
      <c r="AR54" s="48"/>
      <c r="AS54" s="48"/>
      <c r="AT54" s="48"/>
      <c r="AU54" s="48"/>
      <c r="AV54" s="48"/>
      <c r="AW54" s="49"/>
    </row>
    <row r="55" spans="2:49" x14ac:dyDescent="0.3">
      <c r="B55" s="206" t="s">
        <v>202</v>
      </c>
      <c r="C55" s="207"/>
      <c r="D55" s="207"/>
      <c r="E55" s="189"/>
      <c r="F55" s="202">
        <v>0</v>
      </c>
      <c r="G55" s="76">
        <f>IFERROR($F55/Overview!$D$31,0)</f>
        <v>0</v>
      </c>
      <c r="H55" s="93">
        <f>IFERROR($F55/Overview!$D$30,0)</f>
        <v>0</v>
      </c>
      <c r="I55" s="120">
        <f t="shared" si="33"/>
        <v>0</v>
      </c>
      <c r="J55" s="5"/>
      <c r="K55" s="501" t="s">
        <v>203</v>
      </c>
      <c r="L55" s="5"/>
      <c r="M55" s="151"/>
      <c r="N55" s="152"/>
      <c r="O55" s="148"/>
      <c r="P55" s="184">
        <f>$F$20</f>
        <v>0</v>
      </c>
      <c r="Q55" s="76">
        <f>IFERROR($P55/Overview!$D$31,0)</f>
        <v>0</v>
      </c>
      <c r="R55" s="93">
        <f>IFERROR($P55/Overview!$D$30,0)</f>
        <v>0</v>
      </c>
      <c r="S55" s="120">
        <f>IFERROR($P55/$P$58,0)</f>
        <v>0</v>
      </c>
      <c r="T55" s="5"/>
      <c r="U55" s="501" t="s">
        <v>307</v>
      </c>
      <c r="V55" s="5"/>
      <c r="W55" s="28"/>
      <c r="X55" s="224" t="str">
        <f ca="1">IFERROR($X$42/$P$58,"NA")</f>
        <v>NA</v>
      </c>
      <c r="Y55" s="76"/>
      <c r="Z55" s="93"/>
      <c r="AA55" s="120"/>
      <c r="AB55" s="5"/>
      <c r="AC55" s="501" t="s">
        <v>307</v>
      </c>
      <c r="AD55" s="5"/>
      <c r="AE55" s="5"/>
      <c r="AF55" s="227">
        <f ca="1">IFERROR(AVERAGE(AH55:AV55),0)</f>
        <v>0</v>
      </c>
      <c r="AG55" s="227"/>
      <c r="AH55" s="227"/>
      <c r="AI55" s="227" t="str">
        <f t="shared" ref="AI55:AW55" ca="1" si="36">IFERROR(AI$42/$P$58,"NA")</f>
        <v>NA</v>
      </c>
      <c r="AJ55" s="227" t="str">
        <f t="shared" ca="1" si="36"/>
        <v>NA</v>
      </c>
      <c r="AK55" s="227" t="str">
        <f t="shared" ca="1" si="36"/>
        <v>NA</v>
      </c>
      <c r="AL55" s="227" t="str">
        <f t="shared" ca="1" si="36"/>
        <v>NA</v>
      </c>
      <c r="AM55" s="227" t="str">
        <f t="shared" ca="1" si="36"/>
        <v>NA</v>
      </c>
      <c r="AN55" s="227" t="str">
        <f t="shared" ca="1" si="36"/>
        <v>NA</v>
      </c>
      <c r="AO55" s="227" t="str">
        <f t="shared" ca="1" si="36"/>
        <v>NA</v>
      </c>
      <c r="AP55" s="227" t="str">
        <f t="shared" ca="1" si="36"/>
        <v>NA</v>
      </c>
      <c r="AQ55" s="227" t="str">
        <f t="shared" ca="1" si="36"/>
        <v>NA</v>
      </c>
      <c r="AR55" s="227" t="str">
        <f t="shared" ca="1" si="36"/>
        <v>NA</v>
      </c>
      <c r="AS55" s="227" t="str">
        <f t="shared" ca="1" si="36"/>
        <v>NA</v>
      </c>
      <c r="AT55" s="227" t="str">
        <f t="shared" ca="1" si="36"/>
        <v>NA</v>
      </c>
      <c r="AU55" s="227" t="str">
        <f t="shared" ca="1" si="36"/>
        <v>NA</v>
      </c>
      <c r="AV55" s="227" t="str">
        <f t="shared" ca="1" si="36"/>
        <v>NA</v>
      </c>
      <c r="AW55" s="223" t="str">
        <f t="shared" ca="1" si="36"/>
        <v>NA</v>
      </c>
    </row>
    <row r="56" spans="2:49" x14ac:dyDescent="0.3">
      <c r="B56" s="53" t="s">
        <v>204</v>
      </c>
      <c r="C56" s="44"/>
      <c r="D56" s="44"/>
      <c r="E56" s="42"/>
      <c r="F56" s="82">
        <f>SUM(F49:F55)</f>
        <v>0</v>
      </c>
      <c r="G56" s="82">
        <f>IFERROR($F56/Overview!$D$31,0)</f>
        <v>0</v>
      </c>
      <c r="H56" s="81">
        <f>IFERROR($F56/Overview!$D$30,0)</f>
        <v>0</v>
      </c>
      <c r="I56" s="123">
        <f t="shared" si="33"/>
        <v>0</v>
      </c>
      <c r="J56" s="5"/>
      <c r="K56" s="501" t="s">
        <v>72</v>
      </c>
      <c r="L56" s="5"/>
      <c r="M56" s="151"/>
      <c r="N56" s="152"/>
      <c r="O56" s="148"/>
      <c r="P56" s="184">
        <f>$F$45</f>
        <v>0</v>
      </c>
      <c r="Q56" s="76">
        <f>IFERROR($P56/Overview!$D$31,0)</f>
        <v>0</v>
      </c>
      <c r="R56" s="93">
        <f>IFERROR($P56/Overview!$D$30,0)</f>
        <v>0</v>
      </c>
      <c r="S56" s="120">
        <f>IFERROR($P56/$P$58,0)</f>
        <v>0</v>
      </c>
      <c r="T56" s="5"/>
      <c r="U56" s="501" t="s">
        <v>308</v>
      </c>
      <c r="V56" s="5"/>
      <c r="W56" s="28"/>
      <c r="X56" s="224" t="str">
        <f ca="1">IFERROR($X$52/SUM($P$29:$P$30),"NA")</f>
        <v>NA</v>
      </c>
      <c r="Y56" s="76"/>
      <c r="Z56" s="93"/>
      <c r="AA56" s="120"/>
      <c r="AB56" s="5"/>
      <c r="AC56" s="501" t="s">
        <v>309</v>
      </c>
      <c r="AD56" s="5"/>
      <c r="AE56" s="5"/>
      <c r="AF56" s="227">
        <f ca="1">IFERROR(AVERAGE(AH56:AV56),0)</f>
        <v>0</v>
      </c>
      <c r="AG56" s="227"/>
      <c r="AH56" s="227"/>
      <c r="AI56" s="166" t="str">
        <f t="shared" ref="AI56:AW56" ca="1" si="37">IFERROR(AI$52/SUM($P$29:$P$30),"NA")</f>
        <v>NA</v>
      </c>
      <c r="AJ56" s="166" t="str">
        <f t="shared" ca="1" si="37"/>
        <v>NA</v>
      </c>
      <c r="AK56" s="166" t="str">
        <f t="shared" ca="1" si="37"/>
        <v>NA</v>
      </c>
      <c r="AL56" s="166" t="str">
        <f t="shared" ca="1" si="37"/>
        <v>NA</v>
      </c>
      <c r="AM56" s="166" t="str">
        <f t="shared" ca="1" si="37"/>
        <v>NA</v>
      </c>
      <c r="AN56" s="166" t="str">
        <f t="shared" ca="1" si="37"/>
        <v>NA</v>
      </c>
      <c r="AO56" s="166" t="str">
        <f t="shared" ca="1" si="37"/>
        <v>NA</v>
      </c>
      <c r="AP56" s="166" t="str">
        <f t="shared" ca="1" si="37"/>
        <v>NA</v>
      </c>
      <c r="AQ56" s="166" t="str">
        <f t="shared" ca="1" si="37"/>
        <v>NA</v>
      </c>
      <c r="AR56" s="166" t="str">
        <f t="shared" ca="1" si="37"/>
        <v>NA</v>
      </c>
      <c r="AS56" s="166" t="str">
        <f t="shared" ca="1" si="37"/>
        <v>NA</v>
      </c>
      <c r="AT56" s="166" t="str">
        <f t="shared" ca="1" si="37"/>
        <v>NA</v>
      </c>
      <c r="AU56" s="166" t="str">
        <f t="shared" ca="1" si="37"/>
        <v>NA</v>
      </c>
      <c r="AV56" s="166" t="str">
        <f t="shared" ca="1" si="37"/>
        <v>NA</v>
      </c>
      <c r="AW56" s="238" t="str">
        <f t="shared" ca="1" si="37"/>
        <v>NA</v>
      </c>
    </row>
    <row r="57" spans="2:49" x14ac:dyDescent="0.3">
      <c r="B57" s="501"/>
      <c r="C57" s="5"/>
      <c r="D57" s="5"/>
      <c r="E57" s="28"/>
      <c r="F57" s="76"/>
      <c r="G57" s="76"/>
      <c r="H57" s="93"/>
      <c r="I57" s="120"/>
      <c r="J57" s="5"/>
      <c r="K57" s="501" t="s">
        <v>73</v>
      </c>
      <c r="L57" s="5"/>
      <c r="M57" s="151"/>
      <c r="N57" s="152"/>
      <c r="O57" s="148"/>
      <c r="P57" s="184">
        <f>$F$115</f>
        <v>0</v>
      </c>
      <c r="Q57" s="76">
        <f>IFERROR($P57/Overview!$D$31,0)</f>
        <v>0</v>
      </c>
      <c r="R57" s="93">
        <f>IFERROR($P57/Overview!$D$30,0)</f>
        <v>0</v>
      </c>
      <c r="S57" s="120">
        <f>IFERROR($P57/$P$58,0)</f>
        <v>0</v>
      </c>
      <c r="T57" s="5"/>
      <c r="U57" s="501" t="s">
        <v>310</v>
      </c>
      <c r="V57" s="5"/>
      <c r="W57" s="28"/>
      <c r="X57" s="224" t="str">
        <f>IFERROR($X$50/SUM($P$37:$P$40),"NA")</f>
        <v>NA</v>
      </c>
      <c r="Y57" s="76"/>
      <c r="Z57" s="93"/>
      <c r="AA57" s="120"/>
      <c r="AB57" s="5"/>
      <c r="AC57" s="501" t="s">
        <v>310</v>
      </c>
      <c r="AD57" s="5"/>
      <c r="AE57" s="5"/>
      <c r="AF57" s="227">
        <f>IFERROR(AVERAGE(AH57:AV57),0)</f>
        <v>0</v>
      </c>
      <c r="AG57" s="227"/>
      <c r="AH57" s="227"/>
      <c r="AI57" s="227" t="str">
        <f t="shared" ref="AI57:AW57" si="38">IFERROR(AI$50/SUM($P$37:$P$40),"NA")</f>
        <v>NA</v>
      </c>
      <c r="AJ57" s="227" t="str">
        <f t="shared" si="38"/>
        <v>NA</v>
      </c>
      <c r="AK57" s="227" t="str">
        <f t="shared" si="38"/>
        <v>NA</v>
      </c>
      <c r="AL57" s="227" t="str">
        <f t="shared" si="38"/>
        <v>NA</v>
      </c>
      <c r="AM57" s="227" t="str">
        <f t="shared" si="38"/>
        <v>NA</v>
      </c>
      <c r="AN57" s="227" t="str">
        <f t="shared" si="38"/>
        <v>NA</v>
      </c>
      <c r="AO57" s="227" t="str">
        <f t="shared" si="38"/>
        <v>NA</v>
      </c>
      <c r="AP57" s="227" t="str">
        <f t="shared" si="38"/>
        <v>NA</v>
      </c>
      <c r="AQ57" s="227" t="str">
        <f t="shared" si="38"/>
        <v>NA</v>
      </c>
      <c r="AR57" s="227" t="str">
        <f t="shared" si="38"/>
        <v>NA</v>
      </c>
      <c r="AS57" s="227" t="str">
        <f t="shared" si="38"/>
        <v>NA</v>
      </c>
      <c r="AT57" s="227" t="str">
        <f t="shared" si="38"/>
        <v>NA</v>
      </c>
      <c r="AU57" s="227" t="str">
        <f t="shared" si="38"/>
        <v>NA</v>
      </c>
      <c r="AV57" s="227" t="str">
        <f t="shared" si="38"/>
        <v>NA</v>
      </c>
      <c r="AW57" s="223" t="str">
        <f t="shared" si="38"/>
        <v>NA</v>
      </c>
    </row>
    <row r="58" spans="2:49" x14ac:dyDescent="0.3">
      <c r="B58" s="54" t="s">
        <v>205</v>
      </c>
      <c r="C58" s="5"/>
      <c r="D58" s="5"/>
      <c r="E58" s="28"/>
      <c r="F58" s="76"/>
      <c r="G58" s="76"/>
      <c r="H58" s="93"/>
      <c r="I58" s="120"/>
      <c r="J58" s="5"/>
      <c r="K58" s="41" t="s">
        <v>74</v>
      </c>
      <c r="L58" s="44"/>
      <c r="M58" s="153"/>
      <c r="N58" s="154"/>
      <c r="O58" s="155"/>
      <c r="P58" s="98">
        <f>SUM(P55:P57)</f>
        <v>0</v>
      </c>
      <c r="Q58" s="82">
        <f>IFERROR($P58/Overview!$D$31,0)</f>
        <v>0</v>
      </c>
      <c r="R58" s="81">
        <f>IFERROR($P58/Overview!$D$30,0)</f>
        <v>0</v>
      </c>
      <c r="S58" s="123">
        <f>IFERROR($P58/$P$58,0)</f>
        <v>0</v>
      </c>
      <c r="T58" s="5"/>
      <c r="U58" s="501"/>
      <c r="V58" s="5"/>
      <c r="W58" s="28"/>
      <c r="X58" s="224"/>
      <c r="Y58" s="76"/>
      <c r="Z58" s="93"/>
      <c r="AA58" s="120"/>
      <c r="AB58" s="5"/>
      <c r="AC58" s="501" t="s">
        <v>301</v>
      </c>
      <c r="AD58" s="5"/>
      <c r="AE58" s="5"/>
      <c r="AF58" s="289">
        <f ca="1">AVERAGE(AI43:AW43)</f>
        <v>0</v>
      </c>
      <c r="AG58" s="227"/>
      <c r="AH58" s="227"/>
      <c r="AI58" s="227"/>
      <c r="AJ58" s="227"/>
      <c r="AK58" s="227"/>
      <c r="AL58" s="227"/>
      <c r="AM58" s="227"/>
      <c r="AN58" s="227"/>
      <c r="AO58" s="227"/>
      <c r="AP58" s="227"/>
      <c r="AQ58" s="227"/>
      <c r="AR58" s="227"/>
      <c r="AS58" s="227"/>
      <c r="AT58" s="227"/>
      <c r="AU58" s="227"/>
      <c r="AV58" s="227"/>
      <c r="AW58" s="223"/>
    </row>
    <row r="59" spans="2:49" x14ac:dyDescent="0.3">
      <c r="B59" s="36" t="s">
        <v>206</v>
      </c>
      <c r="C59" s="5"/>
      <c r="D59" s="5"/>
      <c r="E59" s="28"/>
      <c r="F59" s="202">
        <v>0</v>
      </c>
      <c r="G59" s="76">
        <f>IFERROR($F59/Overview!$D$31,0)</f>
        <v>0</v>
      </c>
      <c r="H59" s="93">
        <f>IFERROR($F59/Overview!$D$30,0)</f>
        <v>0</v>
      </c>
      <c r="I59" s="120">
        <f t="shared" ref="I59:I65" si="39">IFERROR($F59/$F$117,0)</f>
        <v>0</v>
      </c>
      <c r="J59" s="5"/>
      <c r="K59" s="25"/>
      <c r="L59" s="26"/>
      <c r="M59" s="95"/>
      <c r="N59" s="96"/>
      <c r="O59" s="156"/>
      <c r="P59" s="144"/>
      <c r="Q59" s="117"/>
      <c r="R59" s="112"/>
      <c r="S59" s="126"/>
      <c r="T59" s="5"/>
      <c r="U59" s="187"/>
      <c r="V59" s="26"/>
      <c r="W59" s="30"/>
      <c r="X59" s="225"/>
      <c r="Y59" s="117"/>
      <c r="Z59" s="112"/>
      <c r="AA59" s="126"/>
      <c r="AB59" s="5"/>
      <c r="AC59" s="25" t="str">
        <f>IF(U59=0,"",U59)</f>
        <v/>
      </c>
      <c r="AD59" s="26"/>
      <c r="AE59" s="26"/>
      <c r="AF59" s="37"/>
      <c r="AG59" s="37"/>
      <c r="AH59" s="37"/>
      <c r="AI59" s="37"/>
      <c r="AJ59" s="37"/>
      <c r="AK59" s="37"/>
      <c r="AL59" s="37"/>
      <c r="AM59" s="37"/>
      <c r="AN59" s="37"/>
      <c r="AO59" s="37"/>
      <c r="AP59" s="37"/>
      <c r="AQ59" s="37"/>
      <c r="AR59" s="37"/>
      <c r="AS59" s="37"/>
      <c r="AT59" s="37"/>
      <c r="AU59" s="37"/>
      <c r="AV59" s="37"/>
      <c r="AW59" s="31"/>
    </row>
    <row r="60" spans="2:49" x14ac:dyDescent="0.3">
      <c r="B60" s="36" t="s">
        <v>207</v>
      </c>
      <c r="C60" s="5"/>
      <c r="D60" s="5"/>
      <c r="E60" s="28"/>
      <c r="F60" s="202">
        <v>0</v>
      </c>
      <c r="G60" s="76">
        <f>IFERROR($F60/Overview!$D$31,0)</f>
        <v>0</v>
      </c>
      <c r="H60" s="93">
        <f>IFERROR($F60/Overview!$D$30,0)</f>
        <v>0</v>
      </c>
      <c r="I60" s="120">
        <f t="shared" si="39"/>
        <v>0</v>
      </c>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row>
    <row r="61" spans="2:49" x14ac:dyDescent="0.3">
      <c r="B61" s="36" t="s">
        <v>208</v>
      </c>
      <c r="C61" s="5"/>
      <c r="D61" s="5"/>
      <c r="E61" s="28"/>
      <c r="F61" s="202">
        <v>0</v>
      </c>
      <c r="G61" s="76">
        <f>IFERROR($F61/Overview!$D$31,0)</f>
        <v>0</v>
      </c>
      <c r="H61" s="93">
        <f>IFERROR($F61/Overview!$D$30,0)</f>
        <v>0</v>
      </c>
      <c r="I61" s="120">
        <f t="shared" si="39"/>
        <v>0</v>
      </c>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row>
    <row r="62" spans="2:49" x14ac:dyDescent="0.3">
      <c r="B62" s="36" t="s">
        <v>209</v>
      </c>
      <c r="C62" s="5"/>
      <c r="D62" s="5"/>
      <c r="E62" s="28"/>
      <c r="F62" s="202">
        <v>0</v>
      </c>
      <c r="G62" s="76">
        <f>IFERROR($F62/Overview!$D$31,0)</f>
        <v>0</v>
      </c>
      <c r="H62" s="93">
        <f>IFERROR($F62/Overview!$D$30,0)</f>
        <v>0</v>
      </c>
      <c r="I62" s="120">
        <f t="shared" si="39"/>
        <v>0</v>
      </c>
      <c r="J62" s="5"/>
      <c r="K62" s="5"/>
      <c r="L62" s="5"/>
      <c r="M62" s="5"/>
      <c r="N62" s="5"/>
      <c r="O62" s="5"/>
      <c r="P62" s="78" t="s">
        <v>311</v>
      </c>
      <c r="Q62" s="242">
        <v>5</v>
      </c>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2:49" x14ac:dyDescent="0.3">
      <c r="B63" s="36" t="s">
        <v>211</v>
      </c>
      <c r="C63" s="5"/>
      <c r="D63" s="5"/>
      <c r="E63" s="28"/>
      <c r="F63" s="202">
        <v>0</v>
      </c>
      <c r="G63" s="76">
        <f>IFERROR($F63/Overview!$D$31,0)</f>
        <v>0</v>
      </c>
      <c r="H63" s="93">
        <f>IFERROR($F63/Overview!$D$30,0)</f>
        <v>0</v>
      </c>
      <c r="I63" s="120">
        <f t="shared" si="39"/>
        <v>0</v>
      </c>
      <c r="J63" s="5"/>
      <c r="K63" s="5"/>
      <c r="L63" s="5"/>
      <c r="M63" s="5"/>
      <c r="N63" s="5"/>
      <c r="O63" s="5"/>
      <c r="P63" s="5"/>
      <c r="Q63" s="5"/>
      <c r="R63" s="243">
        <v>1</v>
      </c>
      <c r="S63" s="243">
        <v>2</v>
      </c>
      <c r="T63" s="243">
        <v>3</v>
      </c>
      <c r="U63" s="243">
        <v>4</v>
      </c>
      <c r="V63" s="243">
        <v>5</v>
      </c>
      <c r="W63" s="243">
        <v>6</v>
      </c>
      <c r="X63" s="243">
        <v>7</v>
      </c>
      <c r="Y63" s="5"/>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2:49" x14ac:dyDescent="0.3">
      <c r="B64" s="206" t="s">
        <v>214</v>
      </c>
      <c r="C64" s="207"/>
      <c r="D64" s="207"/>
      <c r="E64" s="189"/>
      <c r="F64" s="202">
        <v>0</v>
      </c>
      <c r="G64" s="76">
        <f>IFERROR($F64/Overview!$D$31,0)</f>
        <v>0</v>
      </c>
      <c r="H64" s="93">
        <f>IFERROR($F64/Overview!$D$30,0)</f>
        <v>0</v>
      </c>
      <c r="I64" s="120">
        <f t="shared" si="39"/>
        <v>0</v>
      </c>
      <c r="J64" s="5"/>
      <c r="K64" s="32" t="s">
        <v>312</v>
      </c>
      <c r="L64" s="33"/>
      <c r="M64" s="33"/>
      <c r="N64" s="34"/>
      <c r="O64" s="5"/>
      <c r="P64" s="32" t="s">
        <v>313</v>
      </c>
      <c r="Q64" s="33"/>
      <c r="R64" s="33"/>
      <c r="S64" s="33"/>
      <c r="T64" s="33"/>
      <c r="U64" s="33"/>
      <c r="V64" s="33"/>
      <c r="W64" s="33"/>
      <c r="X64" s="34"/>
      <c r="Y64" s="5"/>
      <c r="Z64" s="5"/>
      <c r="AA64" s="5"/>
      <c r="AB64" s="5"/>
      <c r="AC64" s="5"/>
      <c r="AD64" s="5"/>
      <c r="AE64" s="5"/>
      <c r="AF64" s="5"/>
      <c r="AG64" s="5"/>
      <c r="AH64" s="5"/>
      <c r="AI64" s="5"/>
      <c r="AJ64" s="5"/>
      <c r="AK64" s="5"/>
      <c r="AL64" s="5"/>
      <c r="AM64" s="5"/>
      <c r="AN64" s="5"/>
      <c r="AO64" s="5"/>
      <c r="AP64" s="5"/>
      <c r="AQ64" s="5"/>
      <c r="AR64" s="5"/>
      <c r="AS64" s="5"/>
      <c r="AT64" s="5"/>
      <c r="AU64" s="5"/>
      <c r="AV64" s="5"/>
      <c r="AW64" s="5"/>
    </row>
    <row r="65" spans="2:49" x14ac:dyDescent="0.3">
      <c r="B65" s="53" t="s">
        <v>215</v>
      </c>
      <c r="C65" s="44"/>
      <c r="D65" s="44"/>
      <c r="E65" s="42"/>
      <c r="F65" s="82">
        <f>SUM(F59:F64)</f>
        <v>0</v>
      </c>
      <c r="G65" s="82">
        <f>IFERROR($F65/Overview!$D$31,0)</f>
        <v>0</v>
      </c>
      <c r="H65" s="81">
        <f>IFERROR($F65/Overview!$D$30,0)</f>
        <v>0</v>
      </c>
      <c r="I65" s="123">
        <f t="shared" si="39"/>
        <v>0</v>
      </c>
      <c r="J65" s="5"/>
      <c r="K65" s="568" t="s">
        <v>24</v>
      </c>
      <c r="L65" s="630"/>
      <c r="M65" s="569"/>
      <c r="N65" s="553" t="s">
        <v>314</v>
      </c>
      <c r="O65" s="3"/>
      <c r="P65" s="568" t="s">
        <v>24</v>
      </c>
      <c r="Q65" s="630"/>
      <c r="R65" s="553" t="s">
        <v>315</v>
      </c>
      <c r="S65" s="553" t="s">
        <v>316</v>
      </c>
      <c r="T65" s="553" t="s">
        <v>317</v>
      </c>
      <c r="U65" s="553" t="s">
        <v>318</v>
      </c>
      <c r="V65" s="553" t="s">
        <v>319</v>
      </c>
      <c r="W65" s="553" t="s">
        <v>320</v>
      </c>
      <c r="X65" s="553" t="s">
        <v>321</v>
      </c>
      <c r="Y65" s="5"/>
      <c r="Z65" s="5"/>
      <c r="AA65" s="5"/>
      <c r="AB65" s="5"/>
      <c r="AC65" s="5"/>
      <c r="AD65" s="5"/>
      <c r="AE65" s="5"/>
      <c r="AF65" s="5"/>
      <c r="AG65" s="5"/>
      <c r="AH65" s="5"/>
      <c r="AI65" s="5"/>
      <c r="AJ65" s="5"/>
      <c r="AK65" s="5"/>
      <c r="AL65" s="5"/>
      <c r="AM65" s="5"/>
      <c r="AN65" s="5"/>
      <c r="AO65" s="5"/>
      <c r="AP65" s="5"/>
      <c r="AQ65" s="5"/>
      <c r="AR65" s="5"/>
      <c r="AS65" s="5"/>
      <c r="AT65" s="5"/>
      <c r="AU65" s="5"/>
      <c r="AV65" s="5"/>
      <c r="AW65" s="5"/>
    </row>
    <row r="66" spans="2:49" x14ac:dyDescent="0.3">
      <c r="B66" s="501"/>
      <c r="C66" s="5"/>
      <c r="D66" s="5"/>
      <c r="E66" s="28"/>
      <c r="F66" s="76"/>
      <c r="G66" s="76"/>
      <c r="H66" s="93"/>
      <c r="I66" s="120"/>
      <c r="J66" s="5"/>
      <c r="K66" s="595"/>
      <c r="L66" s="631"/>
      <c r="M66" s="596"/>
      <c r="N66" s="554"/>
      <c r="O66" s="3"/>
      <c r="P66" s="595"/>
      <c r="Q66" s="631"/>
      <c r="R66" s="554"/>
      <c r="S66" s="554"/>
      <c r="T66" s="554"/>
      <c r="U66" s="554"/>
      <c r="V66" s="554"/>
      <c r="W66" s="554"/>
      <c r="X66" s="554"/>
      <c r="Y66" s="5"/>
      <c r="Z66" s="5"/>
      <c r="AA66" s="5"/>
      <c r="AB66" s="5"/>
      <c r="AC66" s="5"/>
      <c r="AD66" s="5"/>
      <c r="AE66" s="5"/>
      <c r="AF66" s="5"/>
      <c r="AG66" s="5"/>
      <c r="AH66" s="5"/>
      <c r="AI66" s="5"/>
      <c r="AJ66" s="5"/>
      <c r="AK66" s="5"/>
      <c r="AL66" s="5"/>
      <c r="AM66" s="5"/>
      <c r="AN66" s="5"/>
      <c r="AO66" s="5"/>
      <c r="AP66" s="5"/>
      <c r="AQ66" s="5"/>
      <c r="AR66" s="5"/>
      <c r="AS66" s="5"/>
      <c r="AT66" s="5"/>
      <c r="AU66" s="5"/>
      <c r="AV66" s="5"/>
      <c r="AW66" s="5"/>
    </row>
    <row r="67" spans="2:49" x14ac:dyDescent="0.3">
      <c r="B67" s="54" t="s">
        <v>217</v>
      </c>
      <c r="C67" s="5"/>
      <c r="D67" s="5"/>
      <c r="E67" s="28"/>
      <c r="F67" s="76"/>
      <c r="G67" s="76"/>
      <c r="H67" s="93"/>
      <c r="I67" s="120"/>
      <c r="J67" s="5"/>
      <c r="K67" s="620"/>
      <c r="L67" s="632"/>
      <c r="M67" s="621"/>
      <c r="N67" s="555"/>
      <c r="O67" s="3"/>
      <c r="P67" s="620"/>
      <c r="Q67" s="632"/>
      <c r="R67" s="555"/>
      <c r="S67" s="555"/>
      <c r="T67" s="555"/>
      <c r="U67" s="555"/>
      <c r="V67" s="555"/>
      <c r="W67" s="555"/>
      <c r="X67" s="555"/>
      <c r="Y67" s="5"/>
      <c r="Z67" s="5"/>
      <c r="AA67" s="5"/>
      <c r="AB67" s="5"/>
      <c r="AC67" s="5"/>
      <c r="AD67" s="5"/>
      <c r="AE67" s="5"/>
      <c r="AF67" s="5"/>
      <c r="AG67" s="5"/>
      <c r="AH67" s="5"/>
      <c r="AI67" s="5"/>
      <c r="AJ67" s="5"/>
      <c r="AK67" s="5"/>
      <c r="AL67" s="5"/>
      <c r="AM67" s="5"/>
      <c r="AN67" s="5"/>
      <c r="AO67" s="5"/>
      <c r="AP67" s="5"/>
      <c r="AQ67" s="5"/>
      <c r="AR67" s="5"/>
      <c r="AS67" s="5"/>
      <c r="AT67" s="5"/>
      <c r="AU67" s="5"/>
      <c r="AV67" s="5"/>
      <c r="AW67" s="5"/>
    </row>
    <row r="68" spans="2:49" x14ac:dyDescent="0.3">
      <c r="B68" s="36" t="s">
        <v>219</v>
      </c>
      <c r="C68" s="5"/>
      <c r="D68" s="5"/>
      <c r="E68" s="28"/>
      <c r="F68" s="202">
        <v>0</v>
      </c>
      <c r="G68" s="76">
        <f>IFERROR($F68/Overview!$D$31,0)</f>
        <v>0</v>
      </c>
      <c r="H68" s="93">
        <f>IFERROR($F68/Overview!$D$30,0)</f>
        <v>0</v>
      </c>
      <c r="I68" s="120">
        <f>IFERROR($F68/$F$117,0)</f>
        <v>0</v>
      </c>
      <c r="J68" s="5"/>
      <c r="K68" s="23" t="s">
        <v>322</v>
      </c>
      <c r="L68" s="24"/>
      <c r="M68" s="622"/>
      <c r="N68" s="623"/>
      <c r="O68" s="5"/>
      <c r="P68" s="135" t="s">
        <v>323</v>
      </c>
      <c r="Q68" s="129"/>
      <c r="R68" s="131"/>
      <c r="S68" s="131"/>
      <c r="T68" s="131"/>
      <c r="U68" s="131"/>
      <c r="V68" s="131"/>
      <c r="W68" s="274"/>
      <c r="X68" s="132"/>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2:49" x14ac:dyDescent="0.3">
      <c r="B69" s="206" t="s">
        <v>221</v>
      </c>
      <c r="C69" s="207"/>
      <c r="D69" s="207"/>
      <c r="E69" s="189"/>
      <c r="F69" s="202">
        <v>0</v>
      </c>
      <c r="G69" s="76">
        <f>IFERROR($F69/Overview!$D$31,0)</f>
        <v>0</v>
      </c>
      <c r="H69" s="93">
        <f>IFERROR($F69/Overview!$D$30,0)</f>
        <v>0</v>
      </c>
      <c r="I69" s="120">
        <f>IFERROR($F69/$F$117,0)</f>
        <v>0</v>
      </c>
      <c r="J69" s="5"/>
      <c r="K69" s="104"/>
      <c r="L69" s="5"/>
      <c r="M69" s="624"/>
      <c r="N69" s="625"/>
      <c r="O69" s="5"/>
      <c r="P69" s="501" t="s">
        <v>324</v>
      </c>
      <c r="Q69" s="28"/>
      <c r="R69" s="134" t="s">
        <v>85</v>
      </c>
      <c r="S69" s="134" t="s">
        <v>141</v>
      </c>
      <c r="T69" s="190" t="s">
        <v>141</v>
      </c>
      <c r="U69" s="190" t="s">
        <v>141</v>
      </c>
      <c r="V69" s="190" t="s">
        <v>141</v>
      </c>
      <c r="W69" s="503" t="s">
        <v>141</v>
      </c>
      <c r="X69" s="196" t="s">
        <v>141</v>
      </c>
      <c r="Y69" s="5"/>
      <c r="Z69" s="5"/>
      <c r="AA69" s="5"/>
      <c r="AB69" s="5"/>
      <c r="AC69" s="5"/>
      <c r="AD69" s="5"/>
      <c r="AE69" s="5"/>
      <c r="AF69" s="5"/>
      <c r="AG69" s="5"/>
      <c r="AH69" s="5"/>
      <c r="AI69" s="5"/>
      <c r="AJ69" s="5"/>
      <c r="AK69" s="5"/>
      <c r="AL69" s="5"/>
      <c r="AM69" s="5"/>
      <c r="AN69" s="5"/>
      <c r="AO69" s="5"/>
      <c r="AP69" s="5"/>
      <c r="AQ69" s="5"/>
      <c r="AR69" s="5"/>
      <c r="AS69" s="5"/>
      <c r="AT69" s="5"/>
      <c r="AU69" s="5"/>
      <c r="AV69" s="5"/>
      <c r="AW69" s="5"/>
    </row>
    <row r="70" spans="2:49" x14ac:dyDescent="0.3">
      <c r="B70" s="53" t="s">
        <v>225</v>
      </c>
      <c r="C70" s="44"/>
      <c r="D70" s="44"/>
      <c r="E70" s="42"/>
      <c r="F70" s="82">
        <f>SUM(F68:F69)</f>
        <v>0</v>
      </c>
      <c r="G70" s="82">
        <f>IFERROR($F70/Overview!$D$31,0)</f>
        <v>0</v>
      </c>
      <c r="H70" s="81">
        <f>IFERROR($F70/Overview!$D$30,0)</f>
        <v>0</v>
      </c>
      <c r="I70" s="123">
        <f>IFERROR($F70/$F$117,0)</f>
        <v>0</v>
      </c>
      <c r="J70" s="5"/>
      <c r="K70" s="105" t="s">
        <v>325</v>
      </c>
      <c r="L70" s="102"/>
      <c r="M70" s="626"/>
      <c r="N70" s="627"/>
      <c r="O70" s="5"/>
      <c r="P70" s="501" t="s">
        <v>326</v>
      </c>
      <c r="Q70" s="28"/>
      <c r="R70" s="165" t="s">
        <v>139</v>
      </c>
      <c r="S70" s="165" t="s">
        <v>139</v>
      </c>
      <c r="T70" s="165" t="s">
        <v>139</v>
      </c>
      <c r="U70" s="190" t="s">
        <v>139</v>
      </c>
      <c r="V70" s="134" t="e">
        <f>IF(Overview!$D$12="Long Term Vacant Rehab","Vacant",INDEX(List!$M$5:$M$9,MATCH(Overview!$D$17,List!$L$5:$L$9,0)))</f>
        <v>#N/A</v>
      </c>
      <c r="W70" s="278" t="e">
        <f>IF(Overview!$D$12="Long Term Vacant Rehab","Vacant",INDEX(List!$M$5:$M$9,MATCH(Overview!$D$17,List!$L$5:$L$9,0)))</f>
        <v>#N/A</v>
      </c>
      <c r="X70" s="64" t="e">
        <f>IF(Overview!$D$12="Long Term Vacant Rehab","Vacant",INDEX(List!$M$5:$M$9,MATCH(Overview!$D$17,List!$L$5:$L$9,0)))</f>
        <v>#N/A</v>
      </c>
      <c r="Y70" s="5"/>
      <c r="Z70" s="5"/>
      <c r="AA70" s="5"/>
      <c r="AB70" s="5"/>
      <c r="AC70" s="5"/>
      <c r="AD70" s="5"/>
      <c r="AE70" s="5"/>
      <c r="AF70" s="5"/>
      <c r="AG70" s="5"/>
      <c r="AH70" s="5"/>
      <c r="AI70" s="5"/>
      <c r="AJ70" s="5"/>
      <c r="AK70" s="5"/>
      <c r="AL70" s="5"/>
      <c r="AM70" s="5"/>
      <c r="AN70" s="5"/>
      <c r="AO70" s="5"/>
      <c r="AP70" s="5"/>
      <c r="AQ70" s="5"/>
      <c r="AR70" s="5"/>
      <c r="AS70" s="5"/>
      <c r="AT70" s="5"/>
      <c r="AU70" s="5"/>
      <c r="AV70" s="5"/>
      <c r="AW70" s="5"/>
    </row>
    <row r="71" spans="2:49" x14ac:dyDescent="0.3">
      <c r="B71" s="501"/>
      <c r="C71" s="5"/>
      <c r="D71" s="5"/>
      <c r="E71" s="28"/>
      <c r="F71" s="76"/>
      <c r="G71" s="76"/>
      <c r="H71" s="93"/>
      <c r="I71" s="120"/>
      <c r="J71" s="5"/>
      <c r="K71" s="104"/>
      <c r="L71" s="5"/>
      <c r="M71" s="628"/>
      <c r="N71" s="629"/>
      <c r="O71" s="5"/>
      <c r="P71" s="501" t="s">
        <v>327</v>
      </c>
      <c r="Q71" s="28"/>
      <c r="R71" s="165" t="s">
        <v>139</v>
      </c>
      <c r="S71" s="165" t="s">
        <v>139</v>
      </c>
      <c r="T71" s="165" t="s">
        <v>139</v>
      </c>
      <c r="U71" s="165" t="s">
        <v>139</v>
      </c>
      <c r="V71" s="166">
        <f>X71</f>
        <v>0.08</v>
      </c>
      <c r="W71" s="284">
        <f>X71</f>
        <v>0.08</v>
      </c>
      <c r="X71" s="203">
        <v>0.08</v>
      </c>
      <c r="Y71" s="5"/>
      <c r="Z71" s="5"/>
      <c r="AA71" s="5"/>
      <c r="AB71" s="5"/>
      <c r="AC71" s="5"/>
      <c r="AD71" s="5"/>
      <c r="AE71" s="5"/>
      <c r="AF71" s="5"/>
      <c r="AG71" s="5"/>
      <c r="AH71" s="5"/>
      <c r="AI71" s="5"/>
      <c r="AJ71" s="5"/>
      <c r="AK71" s="5"/>
      <c r="AL71" s="5"/>
      <c r="AM71" s="5"/>
      <c r="AN71" s="5"/>
      <c r="AO71" s="5"/>
      <c r="AP71" s="5"/>
      <c r="AQ71" s="5"/>
      <c r="AR71" s="5"/>
      <c r="AS71" s="5"/>
      <c r="AT71" s="5"/>
      <c r="AU71" s="5"/>
      <c r="AV71" s="5"/>
      <c r="AW71" s="5"/>
    </row>
    <row r="72" spans="2:49" x14ac:dyDescent="0.3">
      <c r="B72" s="54" t="s">
        <v>227</v>
      </c>
      <c r="C72" s="5"/>
      <c r="D72" s="5"/>
      <c r="E72" s="28"/>
      <c r="F72" s="76"/>
      <c r="G72" s="76"/>
      <c r="H72" s="93"/>
      <c r="I72" s="120"/>
      <c r="J72" s="5"/>
      <c r="K72" s="106"/>
      <c r="L72" s="102"/>
      <c r="M72" s="103"/>
      <c r="N72" s="107"/>
      <c r="O72" s="5"/>
      <c r="P72" s="501" t="s">
        <v>226</v>
      </c>
      <c r="Q72" s="28"/>
      <c r="R72" s="165" t="s">
        <v>139</v>
      </c>
      <c r="S72" s="165" t="s">
        <v>139</v>
      </c>
      <c r="T72" s="165" t="s">
        <v>139</v>
      </c>
      <c r="U72" s="165" t="s">
        <v>139</v>
      </c>
      <c r="V72" s="134" t="s">
        <v>212</v>
      </c>
      <c r="W72" s="278" t="s">
        <v>328</v>
      </c>
      <c r="X72" s="64" t="s">
        <v>329</v>
      </c>
      <c r="Y72" s="5"/>
      <c r="Z72" s="5"/>
      <c r="AA72" s="5"/>
      <c r="AB72" s="5"/>
      <c r="AC72" s="5"/>
      <c r="AD72" s="5"/>
      <c r="AE72" s="5"/>
      <c r="AF72" s="5"/>
      <c r="AG72" s="5"/>
      <c r="AH72" s="5"/>
      <c r="AI72" s="5"/>
      <c r="AJ72" s="5"/>
      <c r="AK72" s="5"/>
      <c r="AL72" s="5"/>
      <c r="AM72" s="5"/>
      <c r="AN72" s="5"/>
      <c r="AO72" s="5"/>
      <c r="AP72" s="5"/>
      <c r="AQ72" s="5"/>
      <c r="AR72" s="5"/>
      <c r="AS72" s="5"/>
      <c r="AT72" s="5"/>
      <c r="AU72" s="5"/>
      <c r="AV72" s="5"/>
      <c r="AW72" s="5"/>
    </row>
    <row r="73" spans="2:49" x14ac:dyDescent="0.3">
      <c r="B73" s="36" t="s">
        <v>229</v>
      </c>
      <c r="C73" s="5"/>
      <c r="D73" s="5"/>
      <c r="E73" s="28"/>
      <c r="F73" s="202">
        <v>0</v>
      </c>
      <c r="G73" s="76">
        <f>IFERROR($F73/Overview!$D$31,0)</f>
        <v>0</v>
      </c>
      <c r="H73" s="93">
        <f>IFERROR($F73/Overview!$D$30,0)</f>
        <v>0</v>
      </c>
      <c r="I73" s="120">
        <f t="shared" ref="I73:I82" si="40">IFERROR($F73/$F$117,0)</f>
        <v>0</v>
      </c>
      <c r="J73" s="5"/>
      <c r="K73" s="501" t="s">
        <v>330</v>
      </c>
      <c r="L73" s="5"/>
      <c r="M73" s="35"/>
      <c r="N73" s="222"/>
      <c r="O73" s="5"/>
      <c r="P73" s="501" t="s">
        <v>331</v>
      </c>
      <c r="Q73" s="28"/>
      <c r="R73" s="165" t="s">
        <v>139</v>
      </c>
      <c r="S73" s="165" t="s">
        <v>139</v>
      </c>
      <c r="T73" s="165" t="s">
        <v>139</v>
      </c>
      <c r="U73" s="165" t="s">
        <v>139</v>
      </c>
      <c r="V73" s="227" t="str">
        <f ca="1">IFERROR(SUMIFS(INDIRECT(_xlfn.CONCAT("'Data - Reference'!",ADDRESS(41,MATCH(V$70,'Data - Reference'!40:40,0),1),":",ADDRESS(51,MATCH(V$70,'Data - Reference'!40:40,0),1))),'Data - Reference'!$L$41:$L$51,ROUNDUP('Unit Summary - Rent Roll'!$K$127,1)),"NA")</f>
        <v>NA</v>
      </c>
      <c r="W73" s="279" t="str">
        <f ca="1">IFERROR(SUMIFS(INDIRECT(_xlfn.CONCAT("'Data - Reference'!",ADDRESS(41,MATCH(W$70,'Data - Reference'!40:40,0),1),":",ADDRESS(51,MATCH(W$70,'Data - Reference'!40:40,0),1))),'Data - Reference'!$L$41:$L$51,ROUNDUP('Unit Summary - Rent Roll'!$K$127,1)),"NA")</f>
        <v>NA</v>
      </c>
      <c r="X73" s="223" t="str">
        <f ca="1">IFERROR(SUMIFS(INDIRECT(_xlfn.CONCAT("'Data - Reference'!",ADDRESS(41,MATCH(X$70,'Data - Reference'!40:40,0),1),":",ADDRESS(51,MATCH(X$70,'Data - Reference'!40:40,0),1))),'Data - Reference'!$L$41:$L$51,ROUNDUP('Unit Summary - Rent Roll'!$K$127,1)),"NA")</f>
        <v>NA</v>
      </c>
      <c r="Y73" s="5"/>
      <c r="Z73" s="5"/>
      <c r="AA73" s="5"/>
      <c r="AB73" s="5"/>
      <c r="AC73" s="5"/>
      <c r="AD73" s="5"/>
      <c r="AE73" s="5"/>
      <c r="AF73" s="5"/>
      <c r="AG73" s="5"/>
      <c r="AH73" s="5"/>
      <c r="AI73" s="5"/>
      <c r="AJ73" s="5"/>
      <c r="AK73" s="5"/>
      <c r="AL73" s="5"/>
      <c r="AM73" s="5"/>
      <c r="AN73" s="5"/>
      <c r="AO73" s="5"/>
      <c r="AP73" s="5"/>
      <c r="AQ73" s="5"/>
      <c r="AR73" s="5"/>
      <c r="AS73" s="5"/>
      <c r="AT73" s="5"/>
      <c r="AU73" s="5"/>
      <c r="AV73" s="5"/>
      <c r="AW73" s="5"/>
    </row>
    <row r="74" spans="2:49" x14ac:dyDescent="0.3">
      <c r="B74" s="36" t="s">
        <v>231</v>
      </c>
      <c r="C74" s="5"/>
      <c r="D74" s="5"/>
      <c r="E74" s="28"/>
      <c r="F74" s="202">
        <v>0</v>
      </c>
      <c r="G74" s="76">
        <f>IFERROR($F74/Overview!$D$31,0)</f>
        <v>0</v>
      </c>
      <c r="H74" s="93">
        <f>IFERROR($F74/Overview!$D$30,0)</f>
        <v>0</v>
      </c>
      <c r="I74" s="120">
        <f t="shared" si="40"/>
        <v>0</v>
      </c>
      <c r="J74" s="5"/>
      <c r="K74" s="501" t="s">
        <v>332</v>
      </c>
      <c r="L74" s="5"/>
      <c r="M74" s="35"/>
      <c r="N74" s="199"/>
      <c r="O74" s="5"/>
      <c r="P74" s="104"/>
      <c r="Q74" s="28"/>
      <c r="R74" s="35"/>
      <c r="S74" s="35"/>
      <c r="T74" s="35"/>
      <c r="U74" s="35"/>
      <c r="V74" s="35"/>
      <c r="W74" s="276"/>
      <c r="X74" s="29"/>
      <c r="Y74" s="5"/>
      <c r="Z74" s="5"/>
      <c r="AA74" s="5"/>
      <c r="AB74" s="5"/>
      <c r="AC74" s="5"/>
      <c r="AD74" s="5"/>
      <c r="AE74" s="5"/>
      <c r="AF74" s="5"/>
      <c r="AG74" s="5"/>
      <c r="AH74" s="5"/>
      <c r="AI74" s="5"/>
      <c r="AJ74" s="5"/>
      <c r="AK74" s="5"/>
      <c r="AL74" s="5"/>
      <c r="AM74" s="5"/>
      <c r="AN74" s="5"/>
      <c r="AO74" s="5"/>
      <c r="AP74" s="5"/>
      <c r="AQ74" s="5"/>
      <c r="AR74" s="5"/>
      <c r="AS74" s="5"/>
      <c r="AT74" s="5"/>
      <c r="AU74" s="5"/>
      <c r="AV74" s="5"/>
      <c r="AW74" s="5"/>
    </row>
    <row r="75" spans="2:49" x14ac:dyDescent="0.3">
      <c r="B75" s="36" t="s">
        <v>233</v>
      </c>
      <c r="C75" s="5"/>
      <c r="D75" s="5"/>
      <c r="E75" s="28"/>
      <c r="F75" s="202">
        <v>0</v>
      </c>
      <c r="G75" s="76">
        <f>IFERROR($F75/Overview!$D$31,0)</f>
        <v>0</v>
      </c>
      <c r="H75" s="93">
        <f>IFERROR($F75/Overview!$D$30,0)</f>
        <v>0</v>
      </c>
      <c r="I75" s="120">
        <f t="shared" si="40"/>
        <v>0</v>
      </c>
      <c r="J75" s="5"/>
      <c r="K75" s="501" t="s">
        <v>333</v>
      </c>
      <c r="L75" s="5"/>
      <c r="M75" s="35"/>
      <c r="N75" s="199"/>
      <c r="O75" s="5"/>
      <c r="P75" s="45" t="s">
        <v>237</v>
      </c>
      <c r="Q75" s="47"/>
      <c r="R75" s="48"/>
      <c r="S75" s="48"/>
      <c r="T75" s="48"/>
      <c r="U75" s="48"/>
      <c r="V75" s="48"/>
      <c r="W75" s="277"/>
      <c r="X75" s="49"/>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2:49" x14ac:dyDescent="0.3">
      <c r="B76" s="36" t="s">
        <v>235</v>
      </c>
      <c r="C76" s="5"/>
      <c r="D76" s="5"/>
      <c r="E76" s="28"/>
      <c r="F76" s="202">
        <v>0</v>
      </c>
      <c r="G76" s="76">
        <f>IFERROR($F76/Overview!$D$31,0)</f>
        <v>0</v>
      </c>
      <c r="H76" s="93">
        <f>IFERROR($F76/Overview!$D$30,0)</f>
        <v>0</v>
      </c>
      <c r="I76" s="120">
        <f t="shared" si="40"/>
        <v>0</v>
      </c>
      <c r="J76" s="5"/>
      <c r="K76" s="36"/>
      <c r="L76" s="5"/>
      <c r="M76" s="35"/>
      <c r="N76" s="66"/>
      <c r="O76" s="5"/>
      <c r="P76" s="501" t="s">
        <v>334</v>
      </c>
      <c r="Q76" s="28"/>
      <c r="R76" s="202">
        <v>0</v>
      </c>
      <c r="S76" s="76">
        <f ca="1">$N$78*('Data - Reference'!$U$58/1000)</f>
        <v>0</v>
      </c>
      <c r="T76" s="76">
        <f ca="1">IF(T$69="Y",$N$80*('Data - Reference'!$U$58/1000),SUM($N$80-$N$78,$N$79)*('Data - Reference'!$U$58/1000))</f>
        <v>0</v>
      </c>
      <c r="U76" s="76">
        <f ca="1">IF(U$69="N",$N$79*('Data - Reference'!$U$58/1000),
IF(OR($U$70="PA-210",$U$70="OPRA",$U$70="OPRA +",$U$70="NEZ-R"),SUM($N$77*0.5,$N$79*(($N$78-($N$77*0.5))/$N$78))*('Data - Reference'!$U$58/1000),
$N$78*('Data - Reference'!$U$58/1000)))</f>
        <v>0</v>
      </c>
      <c r="V76" s="76">
        <f ca="1">IFERROR(IF(V$69="Y",$N$80*('Data - Reference'!$U$58/1000)*(SUM(Overview!$D$39,Overview!$D$37)/SUM(Overview!$D$36,Overview!$D$39)),SUM($N$80-$N$78,$N$79)*('Data - Reference'!$U$58/1000)*(SUM(Overview!$D$39,Overview!$D$37)/SUM(Overview!$D$36,Overview!$D$39))),0)</f>
        <v>0</v>
      </c>
      <c r="W76" s="280">
        <f ca="1">IFERROR(IF(W$69="Y",$N$80*('Data - Reference'!$U$58/1000)*(SUM(Overview!$D$39,Overview!$D$37)/SUM(Overview!$D$36,Overview!$D$39)),SUM($N$80-$N$78,$N$79)*('Data - Reference'!$U$58/1000)*(SUM(Overview!$D$39,Overview!$D$37)/SUM(Overview!$D$36,Overview!$D$39))),0)</f>
        <v>0</v>
      </c>
      <c r="X76" s="89">
        <f ca="1">IFERROR(IF(X$69="Y",$N$80*('Data - Reference'!$U$58/1000)*(SUM(Overview!$D$39,Overview!$D$37)/SUM(Overview!$D$36,Overview!$D$39)),SUM($N$80-$N$78,$N$79)*('Data - Reference'!$U$58/1000)*(SUM(Overview!$D$39,Overview!$D$37)/SUM(Overview!$D$36,Overview!$D$39))),0)</f>
        <v>0</v>
      </c>
      <c r="Y76" s="5"/>
      <c r="Z76" s="5"/>
      <c r="AA76" s="5"/>
      <c r="AB76" s="5"/>
      <c r="AC76" s="5"/>
      <c r="AD76" s="5"/>
      <c r="AE76" s="5"/>
      <c r="AF76" s="5"/>
      <c r="AG76" s="5"/>
      <c r="AH76" s="5"/>
      <c r="AI76" s="5"/>
      <c r="AJ76" s="5"/>
      <c r="AK76" s="5"/>
      <c r="AL76" s="5"/>
      <c r="AM76" s="5"/>
      <c r="AN76" s="5"/>
      <c r="AO76" s="5"/>
      <c r="AP76" s="5"/>
      <c r="AQ76" s="5"/>
      <c r="AR76" s="5"/>
      <c r="AS76" s="5"/>
      <c r="AT76" s="5"/>
      <c r="AU76" s="5"/>
      <c r="AV76" s="5"/>
      <c r="AW76" s="5"/>
    </row>
    <row r="77" spans="2:49" x14ac:dyDescent="0.3">
      <c r="B77" s="36" t="s">
        <v>236</v>
      </c>
      <c r="C77" s="5"/>
      <c r="D77" s="5"/>
      <c r="E77" s="28"/>
      <c r="F77" s="202">
        <v>0</v>
      </c>
      <c r="G77" s="76">
        <f>IFERROR($F77/Overview!$D$31,0)</f>
        <v>0</v>
      </c>
      <c r="H77" s="93">
        <f>IFERROR($F77/Overview!$D$30,0)</f>
        <v>0</v>
      </c>
      <c r="I77" s="120">
        <f t="shared" si="40"/>
        <v>0</v>
      </c>
      <c r="J77" s="5"/>
      <c r="K77" s="501" t="s">
        <v>335</v>
      </c>
      <c r="L77" s="5"/>
      <c r="M77" s="35"/>
      <c r="N77" s="201"/>
      <c r="O77" s="5"/>
      <c r="P77" s="501" t="s">
        <v>336</v>
      </c>
      <c r="Q77" s="28"/>
      <c r="R77" s="202">
        <v>0</v>
      </c>
      <c r="S77" s="76">
        <v>0</v>
      </c>
      <c r="T77" s="76">
        <v>0</v>
      </c>
      <c r="U77" s="76">
        <f>IFERROR(($N$80-$N$78)*(INDEX('Data - Reference'!$V$58:$Z$58,MATCH(U$70,'Data - Reference'!$V$40:$Z$40,0))/1000),0)</f>
        <v>0</v>
      </c>
      <c r="V77" s="76">
        <v>0</v>
      </c>
      <c r="W77" s="280">
        <v>0</v>
      </c>
      <c r="X77" s="89">
        <v>0</v>
      </c>
      <c r="Y77" s="5"/>
      <c r="Z77" s="5"/>
      <c r="AA77" s="5"/>
      <c r="AB77" s="5"/>
      <c r="AC77" s="5"/>
      <c r="AD77" s="5"/>
      <c r="AE77" s="5"/>
      <c r="AF77" s="5"/>
      <c r="AG77" s="5"/>
      <c r="AH77" s="5"/>
      <c r="AI77" s="5"/>
      <c r="AJ77" s="5"/>
      <c r="AK77" s="5"/>
      <c r="AL77" s="5"/>
      <c r="AM77" s="5"/>
      <c r="AN77" s="5"/>
      <c r="AO77" s="5"/>
      <c r="AP77" s="5"/>
      <c r="AQ77" s="5"/>
      <c r="AR77" s="5"/>
      <c r="AS77" s="5"/>
      <c r="AT77" s="5"/>
      <c r="AU77" s="5"/>
      <c r="AV77" s="5"/>
      <c r="AW77" s="5"/>
    </row>
    <row r="78" spans="2:49" x14ac:dyDescent="0.3">
      <c r="B78" s="36" t="s">
        <v>238</v>
      </c>
      <c r="C78" s="5"/>
      <c r="D78" s="5"/>
      <c r="E78" s="28"/>
      <c r="F78" s="202">
        <v>0</v>
      </c>
      <c r="G78" s="76">
        <f>IFERROR($F78/Overview!$D$31,0)</f>
        <v>0</v>
      </c>
      <c r="H78" s="93">
        <f>IFERROR($F78/Overview!$D$30,0)</f>
        <v>0</v>
      </c>
      <c r="I78" s="120">
        <f t="shared" si="40"/>
        <v>0</v>
      </c>
      <c r="J78" s="5"/>
      <c r="K78" s="501" t="s">
        <v>337</v>
      </c>
      <c r="L78" s="5"/>
      <c r="M78" s="35"/>
      <c r="N78" s="201"/>
      <c r="O78" s="5"/>
      <c r="P78" s="501" t="s">
        <v>239</v>
      </c>
      <c r="Q78" s="28"/>
      <c r="R78" s="202">
        <v>0</v>
      </c>
      <c r="S78" s="76">
        <v>0</v>
      </c>
      <c r="T78" s="76">
        <v>0</v>
      </c>
      <c r="U78" s="76">
        <v>0</v>
      </c>
      <c r="V78" s="76">
        <f ca="1">IFERROR(V73*(X17-X23-X25-X26-X27),0)</f>
        <v>0</v>
      </c>
      <c r="W78" s="280">
        <f ca="1">IFERROR(W73*('Unit Summary - Rent Roll'!AB127-'Financials- SWHP'!X25-'Financials- SWHP'!X26-'Financials- SWHP'!X27),0)</f>
        <v>0</v>
      </c>
      <c r="X78" s="89">
        <f ca="1">IFERROR(X73*'Unit Summary - Rent Roll'!AB127,0)</f>
        <v>0</v>
      </c>
      <c r="Y78" s="5"/>
      <c r="Z78" s="5"/>
      <c r="AA78" s="5"/>
      <c r="AB78" s="5"/>
      <c r="AC78" s="5"/>
      <c r="AD78" s="5"/>
      <c r="AE78" s="5"/>
      <c r="AF78" s="5"/>
      <c r="AG78" s="5"/>
      <c r="AH78" s="5"/>
      <c r="AI78" s="5"/>
      <c r="AJ78" s="5"/>
      <c r="AK78" s="5"/>
      <c r="AL78" s="5"/>
      <c r="AM78" s="5"/>
      <c r="AN78" s="5"/>
      <c r="AO78" s="5"/>
      <c r="AP78" s="5"/>
      <c r="AQ78" s="5"/>
      <c r="AR78" s="5"/>
      <c r="AS78" s="5"/>
      <c r="AT78" s="5"/>
      <c r="AU78" s="5"/>
      <c r="AV78" s="5"/>
      <c r="AW78" s="5"/>
    </row>
    <row r="79" spans="2:49" x14ac:dyDescent="0.3">
      <c r="B79" s="36" t="s">
        <v>240</v>
      </c>
      <c r="C79" s="5"/>
      <c r="D79" s="5"/>
      <c r="E79" s="28"/>
      <c r="F79" s="202">
        <v>0</v>
      </c>
      <c r="G79" s="76">
        <f>IFERROR($F79/Overview!$D$31,0)</f>
        <v>0</v>
      </c>
      <c r="H79" s="93">
        <f>IFERROR($F79/Overview!$D$30,0)</f>
        <v>0</v>
      </c>
      <c r="I79" s="120">
        <f t="shared" si="40"/>
        <v>0</v>
      </c>
      <c r="J79" s="5"/>
      <c r="K79" s="501" t="s">
        <v>338</v>
      </c>
      <c r="L79" s="5"/>
      <c r="M79" s="35"/>
      <c r="N79" s="201"/>
      <c r="O79" s="5"/>
      <c r="P79" s="41" t="s">
        <v>339</v>
      </c>
      <c r="Q79" s="42"/>
      <c r="R79" s="82">
        <f>SUM(R76:R78)</f>
        <v>0</v>
      </c>
      <c r="S79" s="82">
        <f ca="1">SUM(S76:S78)</f>
        <v>0</v>
      </c>
      <c r="T79" s="82">
        <f ca="1">SUM(T76:T78)</f>
        <v>0</v>
      </c>
      <c r="U79" s="82">
        <f ca="1">SUM(U76:U78)</f>
        <v>0</v>
      </c>
      <c r="V79" s="82">
        <f ca="1">IFERROR(SUM(V76:V78),0)</f>
        <v>0</v>
      </c>
      <c r="W79" s="275">
        <f ca="1">IFERROR(SUM(W76:W78),0)</f>
        <v>0</v>
      </c>
      <c r="X79" s="90">
        <f ca="1">IFERROR(SUM(X76:X78),0)</f>
        <v>0</v>
      </c>
      <c r="Y79" s="5"/>
      <c r="Z79" s="5"/>
      <c r="AA79" s="5"/>
      <c r="AB79" s="5"/>
      <c r="AC79" s="5"/>
      <c r="AD79" s="5"/>
      <c r="AE79" s="5"/>
      <c r="AF79" s="5"/>
      <c r="AG79" s="5"/>
      <c r="AH79" s="5"/>
      <c r="AI79" s="5"/>
      <c r="AJ79" s="5"/>
      <c r="AK79" s="5"/>
      <c r="AL79" s="5"/>
      <c r="AM79" s="5"/>
      <c r="AN79" s="5"/>
      <c r="AO79" s="5"/>
      <c r="AP79" s="5"/>
      <c r="AQ79" s="5"/>
      <c r="AR79" s="5"/>
      <c r="AS79" s="5"/>
      <c r="AT79" s="5"/>
      <c r="AU79" s="5"/>
      <c r="AV79" s="5"/>
      <c r="AW79" s="5"/>
    </row>
    <row r="80" spans="2:49" x14ac:dyDescent="0.3">
      <c r="B80" s="36" t="s">
        <v>242</v>
      </c>
      <c r="C80" s="5"/>
      <c r="D80" s="5"/>
      <c r="E80" s="28"/>
      <c r="F80" s="202">
        <v>0</v>
      </c>
      <c r="G80" s="76">
        <f>IFERROR($F80/Overview!$D$31,0)</f>
        <v>0</v>
      </c>
      <c r="H80" s="93">
        <f>IFERROR($F80/Overview!$D$30,0)</f>
        <v>0</v>
      </c>
      <c r="I80" s="120">
        <f t="shared" si="40"/>
        <v>0</v>
      </c>
      <c r="J80" s="5"/>
      <c r="K80" s="501" t="s">
        <v>340</v>
      </c>
      <c r="L80" s="5"/>
      <c r="M80" s="200"/>
      <c r="N80" s="89">
        <f>MAX(($M$80*SUM($N$74:$N$75))+($N$77*0.5))</f>
        <v>0</v>
      </c>
      <c r="O80" s="5"/>
      <c r="P80" s="167" t="s">
        <v>241</v>
      </c>
      <c r="Q80" s="38"/>
      <c r="R80" s="177">
        <f>IFERROR(R$79/Overview!$D$31,0)</f>
        <v>0</v>
      </c>
      <c r="S80" s="177">
        <f ca="1">IFERROR(S$79/Overview!$D$31,0)</f>
        <v>0</v>
      </c>
      <c r="T80" s="177">
        <f ca="1">IFERROR(T$79/Overview!$D$31,0)</f>
        <v>0</v>
      </c>
      <c r="U80" s="177">
        <f ca="1">IFERROR(U$79/Overview!$D$31,0)</f>
        <v>0</v>
      </c>
      <c r="V80" s="177">
        <f ca="1">IFERROR(V$79/Overview!$D$31,0)</f>
        <v>0</v>
      </c>
      <c r="W80" s="281">
        <f ca="1">IFERROR(W$79/Overview!$D$31,0)</f>
        <v>0</v>
      </c>
      <c r="X80" s="178">
        <f ca="1">IFERROR(X$79/Overview!$D$31,0)</f>
        <v>0</v>
      </c>
      <c r="Y80" s="5"/>
      <c r="Z80" s="5"/>
      <c r="AA80" s="5"/>
      <c r="AB80" s="5"/>
      <c r="AC80" s="5"/>
      <c r="AD80" s="5"/>
      <c r="AE80" s="5"/>
      <c r="AF80" s="5"/>
      <c r="AG80" s="5"/>
      <c r="AH80" s="5"/>
      <c r="AI80" s="5"/>
      <c r="AJ80" s="5"/>
      <c r="AK80" s="5"/>
      <c r="AL80" s="5"/>
      <c r="AM80" s="5"/>
      <c r="AN80" s="5"/>
      <c r="AO80" s="5"/>
      <c r="AP80" s="5"/>
      <c r="AQ80" s="5"/>
      <c r="AR80" s="5"/>
      <c r="AS80" s="5"/>
      <c r="AT80" s="5"/>
      <c r="AU80" s="5"/>
      <c r="AV80" s="5"/>
      <c r="AW80" s="5"/>
    </row>
    <row r="81" spans="2:49" x14ac:dyDescent="0.3">
      <c r="B81" s="206" t="s">
        <v>243</v>
      </c>
      <c r="C81" s="207"/>
      <c r="D81" s="207"/>
      <c r="E81" s="189"/>
      <c r="F81" s="202">
        <v>0</v>
      </c>
      <c r="G81" s="76">
        <f>IFERROR($F81/Overview!$D$31,0)</f>
        <v>0</v>
      </c>
      <c r="H81" s="93">
        <f>IFERROR($F81/Overview!$D$30,0)</f>
        <v>0</v>
      </c>
      <c r="I81" s="120">
        <f t="shared" si="40"/>
        <v>0</v>
      </c>
      <c r="J81" s="5"/>
      <c r="K81" s="25"/>
      <c r="L81" s="26"/>
      <c r="M81" s="37"/>
      <c r="N81" s="31"/>
      <c r="O81" s="5"/>
      <c r="P81" s="180"/>
      <c r="Q81" s="181"/>
      <c r="R81" s="182"/>
      <c r="S81" s="182"/>
      <c r="T81" s="182"/>
      <c r="U81" s="182"/>
      <c r="V81" s="182"/>
      <c r="W81" s="282"/>
      <c r="X81" s="183"/>
      <c r="Y81" s="5"/>
      <c r="Z81" s="5"/>
      <c r="AA81" s="5"/>
      <c r="AB81" s="5"/>
      <c r="AC81" s="5"/>
      <c r="AD81" s="5"/>
      <c r="AE81" s="5"/>
      <c r="AF81" s="5"/>
      <c r="AG81" s="5"/>
      <c r="AH81" s="5"/>
      <c r="AI81" s="5"/>
      <c r="AJ81" s="5"/>
      <c r="AK81" s="5"/>
      <c r="AL81" s="5"/>
      <c r="AM81" s="5"/>
      <c r="AN81" s="5"/>
      <c r="AO81" s="5"/>
      <c r="AP81" s="5"/>
      <c r="AQ81" s="5"/>
      <c r="AR81" s="5"/>
      <c r="AS81" s="5"/>
      <c r="AT81" s="5"/>
      <c r="AU81" s="5"/>
      <c r="AV81" s="5"/>
      <c r="AW81" s="5"/>
    </row>
    <row r="82" spans="2:49" x14ac:dyDescent="0.3">
      <c r="B82" s="53" t="s">
        <v>244</v>
      </c>
      <c r="C82" s="44"/>
      <c r="D82" s="44"/>
      <c r="E82" s="42"/>
      <c r="F82" s="82">
        <f>SUM(F73:F81)</f>
        <v>0</v>
      </c>
      <c r="G82" s="82">
        <f>IFERROR($F82/Overview!$D$31,0)</f>
        <v>0</v>
      </c>
      <c r="H82" s="81">
        <f>IFERROR($F82/Overview!$D$30,0)</f>
        <v>0</v>
      </c>
      <c r="I82" s="123">
        <f t="shared" si="40"/>
        <v>0</v>
      </c>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row>
    <row r="83" spans="2:49" x14ac:dyDescent="0.3">
      <c r="B83" s="257"/>
      <c r="C83" s="55"/>
      <c r="D83" s="55"/>
      <c r="E83" s="56"/>
      <c r="F83" s="115"/>
      <c r="G83" s="115"/>
      <c r="H83" s="110"/>
      <c r="I83" s="124"/>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row>
    <row r="84" spans="2:49" x14ac:dyDescent="0.3">
      <c r="B84" s="54" t="s">
        <v>245</v>
      </c>
      <c r="C84" s="5"/>
      <c r="D84" s="5"/>
      <c r="E84" s="28"/>
      <c r="F84" s="76"/>
      <c r="G84" s="76"/>
      <c r="H84" s="93"/>
      <c r="I84" s="120"/>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row>
    <row r="85" spans="2:49" x14ac:dyDescent="0.3">
      <c r="B85" s="36" t="s">
        <v>246</v>
      </c>
      <c r="C85" s="5"/>
      <c r="D85" s="5"/>
      <c r="E85" s="28"/>
      <c r="F85" s="202">
        <v>0</v>
      </c>
      <c r="G85" s="76">
        <f>IFERROR($F85/Overview!$D$31,0)</f>
        <v>0</v>
      </c>
      <c r="H85" s="93">
        <f>IFERROR($F85/Overview!$D$30,0)</f>
        <v>0</v>
      </c>
      <c r="I85" s="120">
        <f t="shared" ref="I85:I92" si="41">IFERROR($F85/$F$117,0)</f>
        <v>0</v>
      </c>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row>
    <row r="86" spans="2:49" x14ac:dyDescent="0.3">
      <c r="B86" s="36" t="s">
        <v>247</v>
      </c>
      <c r="C86" s="5"/>
      <c r="D86" s="5"/>
      <c r="E86" s="28"/>
      <c r="F86" s="202">
        <v>0</v>
      </c>
      <c r="G86" s="76">
        <f>IFERROR($F86/Overview!$D$31,0)</f>
        <v>0</v>
      </c>
      <c r="H86" s="93">
        <f>IFERROR($F86/Overview!$D$30,0)</f>
        <v>0</v>
      </c>
      <c r="I86" s="120">
        <f t="shared" si="41"/>
        <v>0</v>
      </c>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2:49" x14ac:dyDescent="0.3">
      <c r="B87" s="36" t="s">
        <v>248</v>
      </c>
      <c r="C87" s="5"/>
      <c r="D87" s="5"/>
      <c r="E87" s="28"/>
      <c r="F87" s="202">
        <v>0</v>
      </c>
      <c r="G87" s="76">
        <f>IFERROR($F87/Overview!$D$31,0)</f>
        <v>0</v>
      </c>
      <c r="H87" s="93">
        <f>IFERROR($F87/Overview!$D$30,0)</f>
        <v>0</v>
      </c>
      <c r="I87" s="120">
        <f t="shared" si="41"/>
        <v>0</v>
      </c>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row>
    <row r="88" spans="2:49" x14ac:dyDescent="0.3">
      <c r="B88" s="36" t="s">
        <v>249</v>
      </c>
      <c r="C88" s="5"/>
      <c r="D88" s="5"/>
      <c r="E88" s="28"/>
      <c r="F88" s="202">
        <v>0</v>
      </c>
      <c r="G88" s="76">
        <f>IFERROR($F88/Overview!$D$31,0)</f>
        <v>0</v>
      </c>
      <c r="H88" s="93">
        <f>IFERROR($F88/Overview!$D$30,0)</f>
        <v>0</v>
      </c>
      <c r="I88" s="120">
        <f t="shared" si="41"/>
        <v>0</v>
      </c>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row>
    <row r="89" spans="2:49" x14ac:dyDescent="0.3">
      <c r="B89" s="36" t="s">
        <v>250</v>
      </c>
      <c r="C89" s="5"/>
      <c r="D89" s="5"/>
      <c r="E89" s="28"/>
      <c r="F89" s="202">
        <v>0</v>
      </c>
      <c r="G89" s="76">
        <f>IFERROR($F89/Overview!$D$31,0)</f>
        <v>0</v>
      </c>
      <c r="H89" s="93">
        <f>IFERROR($F89/Overview!$D$30,0)</f>
        <v>0</v>
      </c>
      <c r="I89" s="120">
        <f t="shared" si="41"/>
        <v>0</v>
      </c>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row>
    <row r="90" spans="2:49" x14ac:dyDescent="0.3">
      <c r="B90" s="36" t="s">
        <v>251</v>
      </c>
      <c r="C90" s="5"/>
      <c r="D90" s="5"/>
      <c r="E90" s="28"/>
      <c r="F90" s="202">
        <v>0</v>
      </c>
      <c r="G90" s="76">
        <f>IFERROR($F90/Overview!$D$31,0)</f>
        <v>0</v>
      </c>
      <c r="H90" s="93">
        <f>IFERROR($F90/Overview!$D$30,0)</f>
        <v>0</v>
      </c>
      <c r="I90" s="120">
        <f t="shared" si="41"/>
        <v>0</v>
      </c>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row>
    <row r="91" spans="2:49" x14ac:dyDescent="0.3">
      <c r="B91" s="206" t="s">
        <v>243</v>
      </c>
      <c r="C91" s="207"/>
      <c r="D91" s="207"/>
      <c r="E91" s="189"/>
      <c r="F91" s="202">
        <v>0</v>
      </c>
      <c r="G91" s="76">
        <f>IFERROR($F91/Overview!$D$31,0)</f>
        <v>0</v>
      </c>
      <c r="H91" s="93">
        <f>IFERROR($F91/Overview!$D$30,0)</f>
        <v>0</v>
      </c>
      <c r="I91" s="120">
        <f t="shared" si="41"/>
        <v>0</v>
      </c>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row>
    <row r="92" spans="2:49" x14ac:dyDescent="0.3">
      <c r="B92" s="53" t="s">
        <v>252</v>
      </c>
      <c r="C92" s="44"/>
      <c r="D92" s="44"/>
      <c r="E92" s="42"/>
      <c r="F92" s="82">
        <f>SUM(F85:F91)</f>
        <v>0</v>
      </c>
      <c r="G92" s="82">
        <f>IFERROR($F92/Overview!$D$31,0)</f>
        <v>0</v>
      </c>
      <c r="H92" s="81">
        <f>IFERROR($F92/Overview!$D$30,0)</f>
        <v>0</v>
      </c>
      <c r="I92" s="123">
        <f t="shared" si="41"/>
        <v>0</v>
      </c>
    </row>
    <row r="93" spans="2:49" x14ac:dyDescent="0.3">
      <c r="B93" s="257"/>
      <c r="C93" s="55"/>
      <c r="D93" s="55"/>
      <c r="E93" s="56"/>
      <c r="F93" s="115"/>
      <c r="G93" s="115"/>
      <c r="H93" s="110"/>
      <c r="I93" s="124"/>
    </row>
    <row r="94" spans="2:49" x14ac:dyDescent="0.3">
      <c r="B94" s="54" t="s">
        <v>253</v>
      </c>
      <c r="C94" s="5"/>
      <c r="D94" s="5"/>
      <c r="E94" s="28"/>
      <c r="F94" s="76"/>
      <c r="G94" s="76"/>
      <c r="H94" s="93"/>
      <c r="I94" s="120"/>
    </row>
    <row r="95" spans="2:49" x14ac:dyDescent="0.3">
      <c r="B95" s="36" t="s">
        <v>254</v>
      </c>
      <c r="C95" s="5"/>
      <c r="D95" s="5"/>
      <c r="E95" s="28"/>
      <c r="F95" s="202">
        <v>0</v>
      </c>
      <c r="G95" s="76">
        <f>IFERROR($F95/Overview!$D$31,0)</f>
        <v>0</v>
      </c>
      <c r="H95" s="93">
        <f>IFERROR($F95/Overview!$D$30,0)</f>
        <v>0</v>
      </c>
      <c r="I95" s="120">
        <f t="shared" ref="I95:I104" si="42">IFERROR($F95/$F$117,0)</f>
        <v>0</v>
      </c>
    </row>
    <row r="96" spans="2:49" x14ac:dyDescent="0.3">
      <c r="B96" s="36" t="s">
        <v>255</v>
      </c>
      <c r="C96" s="5"/>
      <c r="D96" s="5"/>
      <c r="E96" s="28"/>
      <c r="F96" s="202">
        <v>0</v>
      </c>
      <c r="G96" s="76">
        <f>IFERROR($F96/Overview!$D$31,0)</f>
        <v>0</v>
      </c>
      <c r="H96" s="93">
        <f>IFERROR($F96/Overview!$D$30,0)</f>
        <v>0</v>
      </c>
      <c r="I96" s="120">
        <f t="shared" si="42"/>
        <v>0</v>
      </c>
    </row>
    <row r="97" spans="2:9" x14ac:dyDescent="0.3">
      <c r="B97" s="36" t="s">
        <v>256</v>
      </c>
      <c r="C97" s="5"/>
      <c r="D97" s="5"/>
      <c r="E97" s="28"/>
      <c r="F97" s="202">
        <v>0</v>
      </c>
      <c r="G97" s="76">
        <f>IFERROR($F97/Overview!$D$31,0)</f>
        <v>0</v>
      </c>
      <c r="H97" s="93">
        <f>IFERROR($F97/Overview!$D$30,0)</f>
        <v>0</v>
      </c>
      <c r="I97" s="120">
        <f t="shared" si="42"/>
        <v>0</v>
      </c>
    </row>
    <row r="98" spans="2:9" x14ac:dyDescent="0.3">
      <c r="B98" s="36" t="s">
        <v>257</v>
      </c>
      <c r="C98" s="5"/>
      <c r="D98" s="5"/>
      <c r="E98" s="28"/>
      <c r="F98" s="202">
        <v>0</v>
      </c>
      <c r="G98" s="76">
        <f>IFERROR($F98/Overview!$D$31,0)</f>
        <v>0</v>
      </c>
      <c r="H98" s="93">
        <f>IFERROR($F98/Overview!$D$30,0)</f>
        <v>0</v>
      </c>
      <c r="I98" s="120">
        <f t="shared" si="42"/>
        <v>0</v>
      </c>
    </row>
    <row r="99" spans="2:9" x14ac:dyDescent="0.3">
      <c r="B99" s="36" t="s">
        <v>258</v>
      </c>
      <c r="C99" s="5"/>
      <c r="D99" s="5"/>
      <c r="E99" s="28"/>
      <c r="F99" s="202">
        <v>0</v>
      </c>
      <c r="G99" s="76">
        <f>IFERROR($F99/Overview!$D$31,0)</f>
        <v>0</v>
      </c>
      <c r="H99" s="93">
        <f>IFERROR($F99/Overview!$D$30,0)</f>
        <v>0</v>
      </c>
      <c r="I99" s="120">
        <f t="shared" si="42"/>
        <v>0</v>
      </c>
    </row>
    <row r="100" spans="2:9" x14ac:dyDescent="0.3">
      <c r="B100" s="36" t="s">
        <v>259</v>
      </c>
      <c r="C100" s="5"/>
      <c r="D100" s="5"/>
      <c r="E100" s="28"/>
      <c r="F100" s="202">
        <v>0</v>
      </c>
      <c r="G100" s="76">
        <f>IFERROR($F100/Overview!$D$31,0)</f>
        <v>0</v>
      </c>
      <c r="H100" s="93">
        <f>IFERROR($F100/Overview!$D$30,0)</f>
        <v>0</v>
      </c>
      <c r="I100" s="120">
        <f t="shared" si="42"/>
        <v>0</v>
      </c>
    </row>
    <row r="101" spans="2:9" x14ac:dyDescent="0.3">
      <c r="B101" s="36" t="s">
        <v>260</v>
      </c>
      <c r="C101" s="5"/>
      <c r="D101" s="5"/>
      <c r="E101" s="28"/>
      <c r="F101" s="202">
        <v>0</v>
      </c>
      <c r="G101" s="76">
        <f>IFERROR($F101/Overview!$D$31,0)</f>
        <v>0</v>
      </c>
      <c r="H101" s="93">
        <f>IFERROR($F101/Overview!$D$30,0)</f>
        <v>0</v>
      </c>
      <c r="I101" s="120">
        <f t="shared" si="42"/>
        <v>0</v>
      </c>
    </row>
    <row r="102" spans="2:9" x14ac:dyDescent="0.3">
      <c r="B102" s="206" t="s">
        <v>261</v>
      </c>
      <c r="C102" s="207"/>
      <c r="D102" s="207"/>
      <c r="E102" s="189"/>
      <c r="F102" s="202">
        <v>0</v>
      </c>
      <c r="G102" s="76">
        <f>IFERROR($F102/Overview!$D$31,0)</f>
        <v>0</v>
      </c>
      <c r="H102" s="93">
        <f>IFERROR($F102/Overview!$D$30,0)</f>
        <v>0</v>
      </c>
      <c r="I102" s="120">
        <f t="shared" si="42"/>
        <v>0</v>
      </c>
    </row>
    <row r="103" spans="2:9" x14ac:dyDescent="0.3">
      <c r="B103" s="206" t="s">
        <v>261</v>
      </c>
      <c r="C103" s="207"/>
      <c r="D103" s="207"/>
      <c r="E103" s="189"/>
      <c r="F103" s="202">
        <v>0</v>
      </c>
      <c r="G103" s="76">
        <f>IFERROR($F103/Overview!$D$31,0)</f>
        <v>0</v>
      </c>
      <c r="H103" s="93">
        <f>IFERROR($F103/Overview!$D$30,0)</f>
        <v>0</v>
      </c>
      <c r="I103" s="120">
        <f t="shared" si="42"/>
        <v>0</v>
      </c>
    </row>
    <row r="104" spans="2:9" x14ac:dyDescent="0.3">
      <c r="B104" s="53" t="s">
        <v>262</v>
      </c>
      <c r="C104" s="44"/>
      <c r="D104" s="44"/>
      <c r="E104" s="42"/>
      <c r="F104" s="82">
        <f>SUM(F95:F103)</f>
        <v>0</v>
      </c>
      <c r="G104" s="82">
        <f>IFERROR($F104/Overview!$D$31,0)</f>
        <v>0</v>
      </c>
      <c r="H104" s="81">
        <f>IFERROR($F104/Overview!$D$30,0)</f>
        <v>0</v>
      </c>
      <c r="I104" s="123">
        <f t="shared" si="42"/>
        <v>0</v>
      </c>
    </row>
    <row r="105" spans="2:9" x14ac:dyDescent="0.3">
      <c r="B105" s="501"/>
      <c r="C105" s="5"/>
      <c r="D105" s="5"/>
      <c r="E105" s="28"/>
      <c r="F105" s="76"/>
      <c r="G105" s="76"/>
      <c r="H105" s="93"/>
      <c r="I105" s="120"/>
    </row>
    <row r="106" spans="2:9" x14ac:dyDescent="0.3">
      <c r="B106" s="54" t="s">
        <v>263</v>
      </c>
      <c r="C106" s="5"/>
      <c r="D106" s="5"/>
      <c r="E106" s="28"/>
      <c r="F106" s="76"/>
      <c r="G106" s="76"/>
      <c r="H106" s="93"/>
      <c r="I106" s="120"/>
    </row>
    <row r="107" spans="2:9" x14ac:dyDescent="0.3">
      <c r="B107" s="36" t="s">
        <v>264</v>
      </c>
      <c r="C107" s="5"/>
      <c r="D107" s="5"/>
      <c r="E107" s="28"/>
      <c r="F107" s="202">
        <v>0</v>
      </c>
      <c r="G107" s="76">
        <f>IFERROR($F107/Overview!$D$31,0)</f>
        <v>0</v>
      </c>
      <c r="H107" s="93">
        <f>IFERROR($F107/Overview!$D$30,0)</f>
        <v>0</v>
      </c>
      <c r="I107" s="120">
        <f>IFERROR($F107/$F$117,0)</f>
        <v>0</v>
      </c>
    </row>
    <row r="108" spans="2:9" x14ac:dyDescent="0.3">
      <c r="B108" s="206" t="s">
        <v>265</v>
      </c>
      <c r="C108" s="207"/>
      <c r="D108" s="207"/>
      <c r="E108" s="189"/>
      <c r="F108" s="202">
        <v>0</v>
      </c>
      <c r="G108" s="76">
        <f>IFERROR($F108/Overview!$D$31,0)</f>
        <v>0</v>
      </c>
      <c r="H108" s="93">
        <f>IFERROR($F108/Overview!$D$30,0)</f>
        <v>0</v>
      </c>
      <c r="I108" s="120">
        <f>IFERROR($F108/$F$117,0)</f>
        <v>0</v>
      </c>
    </row>
    <row r="109" spans="2:9" x14ac:dyDescent="0.3">
      <c r="B109" s="206" t="s">
        <v>266</v>
      </c>
      <c r="C109" s="207"/>
      <c r="D109" s="207"/>
      <c r="E109" s="189"/>
      <c r="F109" s="202">
        <v>0</v>
      </c>
      <c r="G109" s="76">
        <f>IFERROR($F109/Overview!$D$31,0)</f>
        <v>0</v>
      </c>
      <c r="H109" s="93">
        <f>IFERROR($F109/Overview!$D$30,0)</f>
        <v>0</v>
      </c>
      <c r="I109" s="120">
        <f>IFERROR($F109/$F$117,0)</f>
        <v>0</v>
      </c>
    </row>
    <row r="110" spans="2:9" x14ac:dyDescent="0.3">
      <c r="B110" s="206" t="s">
        <v>266</v>
      </c>
      <c r="C110" s="207"/>
      <c r="D110" s="207"/>
      <c r="E110" s="189"/>
      <c r="F110" s="202">
        <v>0</v>
      </c>
      <c r="G110" s="76">
        <f>IFERROR($F110/Overview!$D$31,0)</f>
        <v>0</v>
      </c>
      <c r="H110" s="93">
        <f>IFERROR($F110/Overview!$D$30,0)</f>
        <v>0</v>
      </c>
      <c r="I110" s="120">
        <f>IFERROR($F110/$F$117,0)</f>
        <v>0</v>
      </c>
    </row>
    <row r="111" spans="2:9" x14ac:dyDescent="0.3">
      <c r="B111" s="53" t="s">
        <v>267</v>
      </c>
      <c r="C111" s="44"/>
      <c r="D111" s="44"/>
      <c r="E111" s="42"/>
      <c r="F111" s="82">
        <f>SUM(F107:F110)</f>
        <v>0</v>
      </c>
      <c r="G111" s="82">
        <f>IFERROR($F111/Overview!$D$31,0)</f>
        <v>0</v>
      </c>
      <c r="H111" s="81">
        <f>IFERROR($F111/Overview!$D$30,0)</f>
        <v>0</v>
      </c>
      <c r="I111" s="123">
        <f>IFERROR($F111/$F$117,0)</f>
        <v>0</v>
      </c>
    </row>
    <row r="112" spans="2:9" x14ac:dyDescent="0.3">
      <c r="B112" s="257"/>
      <c r="C112" s="55"/>
      <c r="D112" s="55"/>
      <c r="E112" s="56"/>
      <c r="F112" s="115"/>
      <c r="G112" s="115"/>
      <c r="H112" s="110"/>
      <c r="I112" s="124"/>
    </row>
    <row r="113" spans="2:9" x14ac:dyDescent="0.3">
      <c r="B113" s="54" t="s">
        <v>268</v>
      </c>
      <c r="C113" s="55"/>
      <c r="D113" s="55"/>
      <c r="E113" s="56"/>
      <c r="F113" s="205">
        <v>0</v>
      </c>
      <c r="G113" s="115">
        <f>IFERROR($F113/Overview!$D$31,0)</f>
        <v>0</v>
      </c>
      <c r="H113" s="110">
        <f>IFERROR($F113/Overview!$D$30,0)</f>
        <v>0</v>
      </c>
      <c r="I113" s="124">
        <f>IFERROR($F113/$F$117,0)</f>
        <v>0</v>
      </c>
    </row>
    <row r="114" spans="2:9" x14ac:dyDescent="0.3">
      <c r="B114" s="501"/>
      <c r="C114" s="5"/>
      <c r="D114" s="5"/>
      <c r="E114" s="28"/>
      <c r="F114" s="76"/>
      <c r="G114" s="76"/>
      <c r="H114" s="93"/>
      <c r="I114" s="120"/>
    </row>
    <row r="115" spans="2:9" x14ac:dyDescent="0.3">
      <c r="B115" s="57" t="s">
        <v>269</v>
      </c>
      <c r="C115" s="51"/>
      <c r="D115" s="51"/>
      <c r="E115" s="52"/>
      <c r="F115" s="114">
        <f>SUM(F56,F65,F70,F82,F92,F104,F111,F113)</f>
        <v>0</v>
      </c>
      <c r="G115" s="114">
        <f>IFERROR($F115/Overview!$D$31,0)</f>
        <v>0</v>
      </c>
      <c r="H115" s="109">
        <f>IFERROR($F115/Overview!$D$30,0)</f>
        <v>0</v>
      </c>
      <c r="I115" s="121">
        <f>IFERROR($F115/$F$117,0)</f>
        <v>0</v>
      </c>
    </row>
    <row r="116" spans="2:9" x14ac:dyDescent="0.3">
      <c r="B116" s="501"/>
      <c r="C116" s="5"/>
      <c r="D116" s="5"/>
      <c r="E116" s="28"/>
      <c r="F116" s="76"/>
      <c r="G116" s="76"/>
      <c r="H116" s="93"/>
      <c r="I116" s="120"/>
    </row>
    <row r="117" spans="2:9" x14ac:dyDescent="0.3">
      <c r="B117" s="58" t="s">
        <v>270</v>
      </c>
      <c r="C117" s="33"/>
      <c r="D117" s="33"/>
      <c r="E117" s="59"/>
      <c r="F117" s="116">
        <f>SUM(F115,F45,F20)</f>
        <v>0</v>
      </c>
      <c r="G117" s="116">
        <f>IFERROR($F117/Overview!$D$31,0)</f>
        <v>0</v>
      </c>
      <c r="H117" s="111">
        <f>IFERROR($F117/Overview!$D$30,0)</f>
        <v>0</v>
      </c>
      <c r="I117" s="125">
        <f>IFERROR($F117/$F$117,0)</f>
        <v>0</v>
      </c>
    </row>
    <row r="118" spans="2:9" x14ac:dyDescent="0.3">
      <c r="B118" s="25"/>
      <c r="C118" s="26"/>
      <c r="D118" s="26"/>
      <c r="E118" s="30"/>
      <c r="F118" s="117"/>
      <c r="G118" s="117"/>
      <c r="H118" s="112"/>
      <c r="I118" s="126"/>
    </row>
  </sheetData>
  <protectedRanges>
    <protectedRange sqref="M68:N71 N73:N75 N77:N79 M80 Q62 T69:X69 U70 X71 R76:R78" name="SWHP Tax Analysis"/>
    <protectedRange sqref="X18:X19 W23 X24:X31 X33:X38 U35:U38 W39 AF17:AH19 AF24:AH38" name="SWHP Income Statement"/>
    <protectedRange sqref="K17:K23 M17:O20 P17:P30 K32:K33 P32:P33 K37:K43 M37:O40 P37:P48 K50:K51 P50:P51" name="SWHP Sources Uses"/>
    <protectedRange sqref="F17:F19 B19 F24:F30 B30 E34:E40 F41:F42 B42 F49:F55 B55 F59:F64 B64 F68:F69 B69 F73:F81 B81 F85:F91 B91 F95:F103 B102:B103 F107:F110 B108:B110 F113" name="SWHP Budget"/>
  </protectedRanges>
  <mergeCells count="18">
    <mergeCell ref="AC15:AE15"/>
    <mergeCell ref="U15:W15"/>
    <mergeCell ref="K15:L15"/>
    <mergeCell ref="M15:O15"/>
    <mergeCell ref="S65:S67"/>
    <mergeCell ref="T65:T67"/>
    <mergeCell ref="U65:U67"/>
    <mergeCell ref="V65:V67"/>
    <mergeCell ref="X65:X67"/>
    <mergeCell ref="K65:M67"/>
    <mergeCell ref="B15:E15"/>
    <mergeCell ref="M68:N69"/>
    <mergeCell ref="B4:I9"/>
    <mergeCell ref="M70:N71"/>
    <mergeCell ref="W65:W67"/>
    <mergeCell ref="P65:Q67"/>
    <mergeCell ref="R65:R67"/>
    <mergeCell ref="N65:N67"/>
  </mergeCells>
  <dataValidations count="1">
    <dataValidation type="list" allowBlank="1" showInputMessage="1" showErrorMessage="1" sqref="Q62" xr:uid="{D4B5D90B-8EDE-4B65-8381-FE194EFB5327}">
      <formula1>$R$63:$X$63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8194ECF-144F-4A46-AFB2-A9CDDDBC6C06}">
          <x14:formula1>
            <xm:f>List!$S$5:$S$10</xm:f>
          </x14:formula1>
          <xm:sqref>U70</xm:sqref>
        </x14:dataValidation>
        <x14:dataValidation type="list" allowBlank="1" showInputMessage="1" showErrorMessage="1" xr:uid="{1D31420D-12E1-404C-B148-7315005E0E9D}">
          <x14:formula1>
            <xm:f>List!$U$5:$U$12</xm:f>
          </x14:formula1>
          <xm:sqref>X71</xm:sqref>
        </x14:dataValidation>
        <x14:dataValidation type="list" allowBlank="1" showInputMessage="1" showErrorMessage="1" xr:uid="{AF6972DD-7C8B-4FFC-92F2-BFD2F5BAA269}">
          <x14:formula1>
            <xm:f>List!$O$5:$O$7</xm:f>
          </x14:formula1>
          <xm:sqref>M17:M20 M37:M40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FCA6-01F9-4D38-9DE2-B952A84ADFAB}">
  <dimension ref="B1:J42"/>
  <sheetViews>
    <sheetView showGridLines="0" zoomScaleNormal="100" workbookViewId="0">
      <selection activeCell="D16" sqref="D16"/>
    </sheetView>
  </sheetViews>
  <sheetFormatPr defaultColWidth="15.6640625" defaultRowHeight="13.8" x14ac:dyDescent="0.3"/>
  <cols>
    <col min="1" max="1" width="2.6640625" style="1" customWidth="1"/>
    <col min="2" max="16384" width="15.6640625" style="1"/>
  </cols>
  <sheetData>
    <row r="1" spans="2:10" s="4" customFormat="1" ht="15.6" x14ac:dyDescent="0.3">
      <c r="B1" s="4" t="s">
        <v>0</v>
      </c>
    </row>
    <row r="2" spans="2:10" s="5" customFormat="1" ht="15" customHeight="1" x14ac:dyDescent="0.3">
      <c r="B2" s="5" t="s">
        <v>341</v>
      </c>
    </row>
    <row r="3" spans="2:10" s="5" customFormat="1" ht="15" customHeight="1" thickBot="1" x14ac:dyDescent="0.35"/>
    <row r="4" spans="2:10" s="5" customFormat="1" ht="15" customHeight="1" x14ac:dyDescent="0.3">
      <c r="B4" s="633" t="s">
        <v>342</v>
      </c>
      <c r="C4" s="634"/>
      <c r="D4" s="634"/>
      <c r="E4" s="634"/>
      <c r="F4" s="634"/>
      <c r="G4" s="634"/>
      <c r="H4" s="635"/>
    </row>
    <row r="5" spans="2:10" s="5" customFormat="1" ht="15" customHeight="1" x14ac:dyDescent="0.3">
      <c r="B5" s="636"/>
      <c r="C5" s="584"/>
      <c r="D5" s="584"/>
      <c r="E5" s="584"/>
      <c r="F5" s="584"/>
      <c r="G5" s="584"/>
      <c r="H5" s="637"/>
    </row>
    <row r="6" spans="2:10" s="5" customFormat="1" ht="15" customHeight="1" x14ac:dyDescent="0.3">
      <c r="B6" s="636"/>
      <c r="C6" s="584"/>
      <c r="D6" s="584"/>
      <c r="E6" s="584"/>
      <c r="F6" s="584"/>
      <c r="G6" s="584"/>
      <c r="H6" s="637"/>
    </row>
    <row r="7" spans="2:10" s="5" customFormat="1" ht="15" customHeight="1" x14ac:dyDescent="0.3">
      <c r="B7" s="636"/>
      <c r="C7" s="584"/>
      <c r="D7" s="584"/>
      <c r="E7" s="584"/>
      <c r="F7" s="584"/>
      <c r="G7" s="584"/>
      <c r="H7" s="637"/>
    </row>
    <row r="8" spans="2:10" s="5" customFormat="1" ht="15" customHeight="1" x14ac:dyDescent="0.3">
      <c r="B8" s="636"/>
      <c r="C8" s="584"/>
      <c r="D8" s="584"/>
      <c r="E8" s="584"/>
      <c r="F8" s="584"/>
      <c r="G8" s="584"/>
      <c r="H8" s="637"/>
    </row>
    <row r="9" spans="2:10" s="5" customFormat="1" ht="15" customHeight="1" thickBot="1" x14ac:dyDescent="0.35">
      <c r="B9" s="638"/>
      <c r="C9" s="639"/>
      <c r="D9" s="639"/>
      <c r="E9" s="639"/>
      <c r="F9" s="639"/>
      <c r="G9" s="639"/>
      <c r="H9" s="640"/>
    </row>
    <row r="10" spans="2:10" s="5" customFormat="1" ht="15" customHeight="1" x14ac:dyDescent="0.3">
      <c r="B10" s="444"/>
      <c r="C10" s="444"/>
      <c r="D10" s="444"/>
      <c r="E10" s="444"/>
      <c r="F10" s="444"/>
      <c r="G10" s="444"/>
      <c r="H10" s="444"/>
    </row>
    <row r="11" spans="2:10" s="5" customFormat="1" ht="15" customHeight="1" x14ac:dyDescent="0.3">
      <c r="B11" s="61" t="s">
        <v>3</v>
      </c>
      <c r="C11" s="194" t="s">
        <v>4</v>
      </c>
      <c r="D11" s="62" t="s">
        <v>5</v>
      </c>
      <c r="E11" s="63" t="s">
        <v>6</v>
      </c>
      <c r="F11"/>
    </row>
    <row r="12" spans="2:10" s="5" customFormat="1" ht="15" customHeight="1" x14ac:dyDescent="0.3"/>
    <row r="14" spans="2:10" x14ac:dyDescent="0.3">
      <c r="B14" s="32" t="s">
        <v>341</v>
      </c>
      <c r="C14" s="545"/>
      <c r="D14" s="545"/>
      <c r="E14" s="545"/>
      <c r="F14" s="545"/>
      <c r="G14" s="545"/>
      <c r="H14" s="546"/>
    </row>
    <row r="15" spans="2:10" ht="12.75" customHeight="1" x14ac:dyDescent="0.3">
      <c r="B15" s="530" t="s">
        <v>343</v>
      </c>
      <c r="C15" s="542"/>
      <c r="D15" s="542" t="s">
        <v>26</v>
      </c>
      <c r="E15" s="547" t="s">
        <v>27</v>
      </c>
      <c r="F15" s="547" t="s">
        <v>344</v>
      </c>
      <c r="G15" s="547" t="s">
        <v>345</v>
      </c>
      <c r="H15" s="540" t="s">
        <v>346</v>
      </c>
    </row>
    <row r="16" spans="2:10" ht="13.95" customHeight="1" x14ac:dyDescent="0.3">
      <c r="B16" s="641" t="s">
        <v>143</v>
      </c>
      <c r="C16" s="642"/>
      <c r="D16" s="533">
        <v>0</v>
      </c>
      <c r="E16" s="339">
        <f>IFERROR(D16/Overview!$D$31,0)</f>
        <v>0</v>
      </c>
      <c r="F16" s="335" t="s">
        <v>347</v>
      </c>
      <c r="G16" s="335" t="s">
        <v>347</v>
      </c>
      <c r="H16" s="334" t="s">
        <v>347</v>
      </c>
      <c r="J16" s="312"/>
    </row>
    <row r="17" spans="2:9" x14ac:dyDescent="0.3">
      <c r="B17" s="643" t="s">
        <v>143</v>
      </c>
      <c r="C17" s="644"/>
      <c r="D17" s="534">
        <v>0</v>
      </c>
      <c r="E17" s="340">
        <f>IFERROR(D17/Overview!$D$31,0)</f>
        <v>0</v>
      </c>
      <c r="F17" s="336" t="s">
        <v>347</v>
      </c>
      <c r="G17" s="333" t="s">
        <v>347</v>
      </c>
      <c r="H17" s="337" t="s">
        <v>347</v>
      </c>
      <c r="I17" s="70"/>
    </row>
    <row r="18" spans="2:9" x14ac:dyDescent="0.3">
      <c r="B18" s="643" t="s">
        <v>143</v>
      </c>
      <c r="C18" s="644"/>
      <c r="D18" s="534">
        <v>0</v>
      </c>
      <c r="E18" s="340">
        <f>IFERROR(D18/Overview!$D$31,0)</f>
        <v>0</v>
      </c>
      <c r="F18" s="336" t="s">
        <v>347</v>
      </c>
      <c r="G18" s="333" t="s">
        <v>347</v>
      </c>
      <c r="H18" s="337" t="s">
        <v>347</v>
      </c>
    </row>
    <row r="19" spans="2:9" x14ac:dyDescent="0.3">
      <c r="B19" s="643" t="s">
        <v>143</v>
      </c>
      <c r="C19" s="644"/>
      <c r="D19" s="534">
        <v>0</v>
      </c>
      <c r="E19" s="340">
        <f>IFERROR(D19/Overview!$D$31,0)</f>
        <v>0</v>
      </c>
      <c r="F19" s="336" t="s">
        <v>347</v>
      </c>
      <c r="G19" s="333" t="s">
        <v>347</v>
      </c>
      <c r="H19" s="337" t="s">
        <v>347</v>
      </c>
    </row>
    <row r="20" spans="2:9" x14ac:dyDescent="0.3">
      <c r="B20" s="643" t="s">
        <v>143</v>
      </c>
      <c r="C20" s="644"/>
      <c r="D20" s="534">
        <v>0</v>
      </c>
      <c r="E20" s="340">
        <f>IFERROR(D20/Overview!$D$31,0)</f>
        <v>0</v>
      </c>
      <c r="F20" s="336" t="s">
        <v>347</v>
      </c>
      <c r="G20" s="333" t="s">
        <v>347</v>
      </c>
      <c r="H20" s="337" t="s">
        <v>347</v>
      </c>
    </row>
    <row r="21" spans="2:9" x14ac:dyDescent="0.3">
      <c r="B21" s="643" t="s">
        <v>143</v>
      </c>
      <c r="C21" s="644"/>
      <c r="D21" s="534">
        <v>0</v>
      </c>
      <c r="E21" s="340">
        <f>IFERROR(D21/Overview!$D$31,0)</f>
        <v>0</v>
      </c>
      <c r="F21" s="336" t="s">
        <v>347</v>
      </c>
      <c r="G21" s="333" t="s">
        <v>347</v>
      </c>
      <c r="H21" s="337" t="s">
        <v>347</v>
      </c>
    </row>
    <row r="22" spans="2:9" x14ac:dyDescent="0.3">
      <c r="B22" s="643" t="s">
        <v>143</v>
      </c>
      <c r="C22" s="644"/>
      <c r="D22" s="534">
        <v>0</v>
      </c>
      <c r="E22" s="340">
        <f>IFERROR(D22/Overview!$D$31,0)</f>
        <v>0</v>
      </c>
      <c r="F22" s="336" t="s">
        <v>347</v>
      </c>
      <c r="G22" s="333" t="s">
        <v>347</v>
      </c>
      <c r="H22" s="337" t="s">
        <v>347</v>
      </c>
    </row>
    <row r="23" spans="2:9" x14ac:dyDescent="0.3">
      <c r="B23" s="643" t="s">
        <v>143</v>
      </c>
      <c r="C23" s="644"/>
      <c r="D23" s="534">
        <v>0</v>
      </c>
      <c r="E23" s="340">
        <f>IFERROR(D23/Overview!$D$31,0)</f>
        <v>0</v>
      </c>
      <c r="F23" s="336" t="s">
        <v>347</v>
      </c>
      <c r="G23" s="333" t="s">
        <v>347</v>
      </c>
      <c r="H23" s="337" t="s">
        <v>347</v>
      </c>
    </row>
    <row r="24" spans="2:9" x14ac:dyDescent="0.3">
      <c r="B24" s="643" t="s">
        <v>143</v>
      </c>
      <c r="C24" s="644"/>
      <c r="D24" s="534">
        <v>0</v>
      </c>
      <c r="E24" s="340">
        <f>IFERROR(D24/Overview!$D$31,0)</f>
        <v>0</v>
      </c>
      <c r="F24" s="336" t="s">
        <v>347</v>
      </c>
      <c r="G24" s="333" t="s">
        <v>347</v>
      </c>
      <c r="H24" s="337" t="s">
        <v>347</v>
      </c>
    </row>
    <row r="25" spans="2:9" x14ac:dyDescent="0.3">
      <c r="B25" s="643" t="s">
        <v>143</v>
      </c>
      <c r="C25" s="644"/>
      <c r="D25" s="534">
        <v>0</v>
      </c>
      <c r="E25" s="340">
        <f>IFERROR(D25/Overview!$D$31,0)</f>
        <v>0</v>
      </c>
      <c r="F25" s="336" t="s">
        <v>347</v>
      </c>
      <c r="G25" s="333" t="s">
        <v>347</v>
      </c>
      <c r="H25" s="337" t="s">
        <v>347</v>
      </c>
    </row>
    <row r="26" spans="2:9" x14ac:dyDescent="0.3">
      <c r="B26" s="643" t="s">
        <v>143</v>
      </c>
      <c r="C26" s="644"/>
      <c r="D26" s="534">
        <v>0</v>
      </c>
      <c r="E26" s="340">
        <f>IFERROR(D26/Overview!$D$31,0)</f>
        <v>0</v>
      </c>
      <c r="F26" s="336" t="s">
        <v>347</v>
      </c>
      <c r="G26" s="333" t="s">
        <v>347</v>
      </c>
      <c r="H26" s="337" t="s">
        <v>347</v>
      </c>
    </row>
    <row r="27" spans="2:9" x14ac:dyDescent="0.3">
      <c r="B27" s="643" t="s">
        <v>143</v>
      </c>
      <c r="C27" s="644"/>
      <c r="D27" s="534">
        <v>0</v>
      </c>
      <c r="E27" s="340">
        <f>IFERROR(D27/Overview!$D$31,0)</f>
        <v>0</v>
      </c>
      <c r="F27" s="336" t="s">
        <v>347</v>
      </c>
      <c r="G27" s="333" t="s">
        <v>347</v>
      </c>
      <c r="H27" s="337" t="s">
        <v>347</v>
      </c>
    </row>
    <row r="28" spans="2:9" x14ac:dyDescent="0.3">
      <c r="B28" s="643" t="s">
        <v>143</v>
      </c>
      <c r="C28" s="644"/>
      <c r="D28" s="534">
        <v>0</v>
      </c>
      <c r="E28" s="340">
        <f>IFERROR(D28/Overview!$D$31,0)</f>
        <v>0</v>
      </c>
      <c r="F28" s="336" t="s">
        <v>347</v>
      </c>
      <c r="G28" s="333" t="s">
        <v>347</v>
      </c>
      <c r="H28" s="337" t="s">
        <v>347</v>
      </c>
    </row>
    <row r="29" spans="2:9" x14ac:dyDescent="0.3">
      <c r="B29" s="643" t="s">
        <v>143</v>
      </c>
      <c r="C29" s="644"/>
      <c r="D29" s="534">
        <v>0</v>
      </c>
      <c r="E29" s="340">
        <f>IFERROR(D29/Overview!$D$31,0)</f>
        <v>0</v>
      </c>
      <c r="F29" s="336" t="s">
        <v>347</v>
      </c>
      <c r="G29" s="333" t="s">
        <v>347</v>
      </c>
      <c r="H29" s="337" t="s">
        <v>347</v>
      </c>
    </row>
    <row r="30" spans="2:9" x14ac:dyDescent="0.3">
      <c r="B30" s="643" t="s">
        <v>143</v>
      </c>
      <c r="C30" s="644"/>
      <c r="D30" s="534">
        <v>0</v>
      </c>
      <c r="E30" s="340">
        <f>IFERROR(D30/Overview!$D$31,0)</f>
        <v>0</v>
      </c>
      <c r="F30" s="336" t="s">
        <v>347</v>
      </c>
      <c r="G30" s="333" t="s">
        <v>347</v>
      </c>
      <c r="H30" s="337" t="s">
        <v>347</v>
      </c>
    </row>
    <row r="31" spans="2:9" x14ac:dyDescent="0.3">
      <c r="B31" s="643" t="s">
        <v>143</v>
      </c>
      <c r="C31" s="644"/>
      <c r="D31" s="534">
        <v>0</v>
      </c>
      <c r="E31" s="340">
        <f>IFERROR(D31/Overview!$D$31,0)</f>
        <v>0</v>
      </c>
      <c r="F31" s="336" t="s">
        <v>347</v>
      </c>
      <c r="G31" s="333" t="s">
        <v>347</v>
      </c>
      <c r="H31" s="337" t="s">
        <v>347</v>
      </c>
    </row>
    <row r="32" spans="2:9" x14ac:dyDescent="0.3">
      <c r="B32" s="643" t="s">
        <v>143</v>
      </c>
      <c r="C32" s="644"/>
      <c r="D32" s="534">
        <v>0</v>
      </c>
      <c r="E32" s="340">
        <f>IFERROR(D32/Overview!$D$31,0)</f>
        <v>0</v>
      </c>
      <c r="F32" s="336" t="s">
        <v>347</v>
      </c>
      <c r="G32" s="333" t="s">
        <v>347</v>
      </c>
      <c r="H32" s="337" t="s">
        <v>347</v>
      </c>
    </row>
    <row r="33" spans="2:8" x14ac:dyDescent="0.3">
      <c r="B33" s="643" t="s">
        <v>143</v>
      </c>
      <c r="C33" s="644"/>
      <c r="D33" s="534">
        <v>0</v>
      </c>
      <c r="E33" s="340">
        <f>IFERROR(D33/Overview!$D$31,0)</f>
        <v>0</v>
      </c>
      <c r="F33" s="336" t="s">
        <v>347</v>
      </c>
      <c r="G33" s="333" t="s">
        <v>347</v>
      </c>
      <c r="H33" s="337" t="s">
        <v>347</v>
      </c>
    </row>
    <row r="34" spans="2:8" x14ac:dyDescent="0.3">
      <c r="B34" s="643" t="s">
        <v>143</v>
      </c>
      <c r="C34" s="644"/>
      <c r="D34" s="534">
        <v>0</v>
      </c>
      <c r="E34" s="340">
        <f>IFERROR(D34/Overview!$D$31,0)</f>
        <v>0</v>
      </c>
      <c r="F34" s="336" t="s">
        <v>347</v>
      </c>
      <c r="G34" s="333" t="s">
        <v>347</v>
      </c>
      <c r="H34" s="337" t="s">
        <v>347</v>
      </c>
    </row>
    <row r="35" spans="2:8" x14ac:dyDescent="0.3">
      <c r="B35" s="643" t="s">
        <v>143</v>
      </c>
      <c r="C35" s="644"/>
      <c r="D35" s="534">
        <v>0</v>
      </c>
      <c r="E35" s="340">
        <f>IFERROR(D35/Overview!$D$31,0)</f>
        <v>0</v>
      </c>
      <c r="F35" s="336" t="s">
        <v>347</v>
      </c>
      <c r="G35" s="333" t="s">
        <v>347</v>
      </c>
      <c r="H35" s="337" t="s">
        <v>347</v>
      </c>
    </row>
    <row r="36" spans="2:8" x14ac:dyDescent="0.3">
      <c r="B36" s="643" t="s">
        <v>143</v>
      </c>
      <c r="C36" s="644"/>
      <c r="D36" s="534">
        <v>0</v>
      </c>
      <c r="E36" s="340">
        <f>IFERROR(D36/Overview!$D$31,0)</f>
        <v>0</v>
      </c>
      <c r="F36" s="336" t="s">
        <v>347</v>
      </c>
      <c r="G36" s="333" t="s">
        <v>347</v>
      </c>
      <c r="H36" s="337" t="s">
        <v>347</v>
      </c>
    </row>
    <row r="37" spans="2:8" x14ac:dyDescent="0.3">
      <c r="B37" s="643" t="s">
        <v>143</v>
      </c>
      <c r="C37" s="644"/>
      <c r="D37" s="534">
        <v>0</v>
      </c>
      <c r="E37" s="340">
        <f>IFERROR(D37/Overview!$D$31,0)</f>
        <v>0</v>
      </c>
      <c r="F37" s="336" t="s">
        <v>347</v>
      </c>
      <c r="G37" s="333" t="s">
        <v>347</v>
      </c>
      <c r="H37" s="337" t="s">
        <v>347</v>
      </c>
    </row>
    <row r="38" spans="2:8" x14ac:dyDescent="0.3">
      <c r="B38" s="643" t="s">
        <v>143</v>
      </c>
      <c r="C38" s="644"/>
      <c r="D38" s="534">
        <v>0</v>
      </c>
      <c r="E38" s="340">
        <f>IFERROR(D38/Overview!$D$31,0)</f>
        <v>0</v>
      </c>
      <c r="F38" s="336" t="s">
        <v>347</v>
      </c>
      <c r="G38" s="333" t="s">
        <v>347</v>
      </c>
      <c r="H38" s="337" t="s">
        <v>347</v>
      </c>
    </row>
    <row r="39" spans="2:8" x14ac:dyDescent="0.3">
      <c r="B39" s="643" t="s">
        <v>143</v>
      </c>
      <c r="C39" s="644"/>
      <c r="D39" s="534">
        <v>0</v>
      </c>
      <c r="E39" s="340">
        <f>IFERROR(D39/Overview!$D$31,0)</f>
        <v>0</v>
      </c>
      <c r="F39" s="336" t="s">
        <v>347</v>
      </c>
      <c r="G39" s="333" t="s">
        <v>347</v>
      </c>
      <c r="H39" s="337" t="s">
        <v>347</v>
      </c>
    </row>
    <row r="40" spans="2:8" x14ac:dyDescent="0.3">
      <c r="B40" s="645" t="s">
        <v>143</v>
      </c>
      <c r="C40" s="646"/>
      <c r="D40" s="534">
        <v>0</v>
      </c>
      <c r="E40" s="340">
        <f>IFERROR(D40/Overview!$D$31,0)</f>
        <v>0</v>
      </c>
      <c r="F40" s="336" t="s">
        <v>347</v>
      </c>
      <c r="G40" s="333" t="s">
        <v>347</v>
      </c>
      <c r="H40" s="337" t="s">
        <v>347</v>
      </c>
    </row>
    <row r="41" spans="2:8" x14ac:dyDescent="0.3">
      <c r="B41" s="531"/>
      <c r="C41" s="532"/>
      <c r="D41" s="338">
        <f>SUM(D16:D40)</f>
        <v>0</v>
      </c>
      <c r="E41" s="341">
        <f>SUM(E16:E40)</f>
        <v>0</v>
      </c>
      <c r="F41" s="251"/>
      <c r="G41" s="250"/>
      <c r="H41" s="331"/>
    </row>
    <row r="42" spans="2:8" x14ac:dyDescent="0.3">
      <c r="B42" s="25"/>
      <c r="C42" s="30"/>
      <c r="D42" s="30"/>
      <c r="E42" s="37" t="b">
        <f>IF(E41&gt;5000,TRUE,FALSE)</f>
        <v>0</v>
      </c>
      <c r="F42" s="247"/>
      <c r="G42" s="311"/>
      <c r="H42" s="332"/>
    </row>
  </sheetData>
  <sheetProtection sheet="1" objects="1" scenarios="1"/>
  <protectedRanges>
    <protectedRange sqref="F16:H40 B16:D40" name="Investment Summary"/>
  </protectedRanges>
  <mergeCells count="26">
    <mergeCell ref="B40:C40"/>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4:H9"/>
    <mergeCell ref="B16:C16"/>
    <mergeCell ref="B17:C17"/>
    <mergeCell ref="B18:C18"/>
    <mergeCell ref="B19:C19"/>
  </mergeCells>
  <conditionalFormatting sqref="H16:H40">
    <cfRule type="expression" dxfId="0" priority="1">
      <formula>AND(H16&gt;1,G16="Y")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5D56-C8C7-4964-AEEB-04801956EA56}">
  <dimension ref="B1:AO28"/>
  <sheetViews>
    <sheetView zoomScaleNormal="100" workbookViewId="0">
      <selection activeCell="D7" sqref="D7"/>
    </sheetView>
  </sheetViews>
  <sheetFormatPr defaultColWidth="8.88671875" defaultRowHeight="12.75" customHeight="1" x14ac:dyDescent="0.3"/>
  <cols>
    <col min="1" max="1" width="2.6640625" style="1" customWidth="1"/>
    <col min="2" max="2" width="12.6640625" style="1" customWidth="1"/>
    <col min="3" max="3" width="2.6640625" style="1" customWidth="1"/>
    <col min="4" max="4" width="12.6640625" style="1" customWidth="1"/>
    <col min="5" max="5" width="2.6640625" style="1" customWidth="1"/>
    <col min="6" max="6" width="12.6640625" style="1" customWidth="1"/>
    <col min="7" max="7" width="2.6640625" style="1" customWidth="1"/>
    <col min="8" max="8" width="12.6640625" style="1" customWidth="1"/>
    <col min="9" max="9" width="3.33203125" style="1" customWidth="1"/>
    <col min="10" max="10" width="15.33203125" style="1" customWidth="1"/>
    <col min="11" max="11" width="2.6640625" style="1" customWidth="1"/>
    <col min="12" max="12" width="31.44140625" style="1" bestFit="1" customWidth="1"/>
    <col min="13" max="13" width="12.6640625" style="1" customWidth="1"/>
    <col min="14" max="14" width="2.6640625" style="1" customWidth="1"/>
    <col min="15" max="15" width="12.6640625" style="1" customWidth="1"/>
    <col min="16" max="16" width="2.6640625" style="1" customWidth="1"/>
    <col min="17" max="17" width="12.6640625" style="1" customWidth="1"/>
    <col min="18" max="18" width="2.6640625" style="1" customWidth="1"/>
    <col min="19" max="19" width="12.6640625" style="1" customWidth="1"/>
    <col min="20" max="20" width="2.6640625" style="1" customWidth="1"/>
    <col min="21" max="21" width="12.6640625" style="1" customWidth="1"/>
    <col min="22" max="22" width="2.6640625" style="1" customWidth="1"/>
    <col min="23" max="23" width="36.44140625" style="70" bestFit="1" customWidth="1"/>
    <col min="24" max="24" width="3" style="70" customWidth="1"/>
    <col min="25" max="25" width="36.44140625" style="70" customWidth="1"/>
    <col min="26" max="26" width="3.6640625" style="70" customWidth="1"/>
    <col min="27" max="27" width="36.44140625" style="70" bestFit="1" customWidth="1"/>
    <col min="28" max="28" width="2.6640625" style="1" customWidth="1"/>
    <col min="29" max="29" width="36.44140625" style="70" bestFit="1" customWidth="1"/>
    <col min="30" max="31" width="12.6640625" style="1" customWidth="1"/>
    <col min="32" max="32" width="2.6640625" style="1" customWidth="1"/>
    <col min="33" max="33" width="15.33203125" style="70" bestFit="1" customWidth="1"/>
    <col min="34" max="34" width="2.6640625" style="1" customWidth="1"/>
    <col min="35" max="35" width="15.33203125" style="70" bestFit="1" customWidth="1"/>
    <col min="36" max="36" width="2.6640625" style="1" customWidth="1"/>
    <col min="37" max="37" width="15.33203125" style="70" bestFit="1" customWidth="1"/>
    <col min="38" max="38" width="2.6640625" style="1" customWidth="1"/>
    <col min="39" max="39" width="15.33203125" style="70" bestFit="1" customWidth="1"/>
    <col min="40" max="40" width="2.6640625" style="1" customWidth="1"/>
    <col min="41" max="16384" width="8.88671875" style="1"/>
  </cols>
  <sheetData>
    <row r="1" spans="2:41" s="2" customFormat="1" ht="15.6" x14ac:dyDescent="0.3">
      <c r="B1" s="2" t="s">
        <v>0</v>
      </c>
      <c r="AA1" s="186"/>
      <c r="AC1" s="186"/>
      <c r="AE1" s="186"/>
      <c r="AI1" s="186"/>
      <c r="AK1" s="186"/>
      <c r="AM1" s="186"/>
      <c r="AO1" s="186"/>
    </row>
    <row r="2" spans="2:41" ht="13.8" x14ac:dyDescent="0.3">
      <c r="B2" s="1" t="s">
        <v>348</v>
      </c>
    </row>
    <row r="4" spans="2:41" ht="13.8" x14ac:dyDescent="0.3">
      <c r="B4" s="71" t="s">
        <v>349</v>
      </c>
      <c r="D4" s="71" t="s">
        <v>350</v>
      </c>
      <c r="F4" s="71" t="s">
        <v>351</v>
      </c>
      <c r="H4" s="71" t="s">
        <v>352</v>
      </c>
      <c r="I4" s="71"/>
      <c r="J4" s="71" t="s">
        <v>353</v>
      </c>
      <c r="L4" s="71" t="s">
        <v>354</v>
      </c>
      <c r="M4" s="71" t="s">
        <v>355</v>
      </c>
      <c r="O4" s="71" t="s">
        <v>279</v>
      </c>
      <c r="Q4" s="71" t="s">
        <v>356</v>
      </c>
      <c r="S4" s="71" t="s">
        <v>326</v>
      </c>
      <c r="U4" s="71" t="s">
        <v>357</v>
      </c>
      <c r="W4" s="71" t="s">
        <v>358</v>
      </c>
      <c r="X4" s="71"/>
      <c r="Y4" s="71" t="s">
        <v>359</v>
      </c>
      <c r="Z4" s="71"/>
      <c r="AA4" s="71" t="s">
        <v>360</v>
      </c>
      <c r="AC4" s="71" t="s">
        <v>361</v>
      </c>
      <c r="AD4" s="71" t="s">
        <v>362</v>
      </c>
      <c r="AE4" s="71" t="s">
        <v>363</v>
      </c>
      <c r="AG4" s="71" t="s">
        <v>364</v>
      </c>
      <c r="AI4" s="71" t="s">
        <v>365</v>
      </c>
      <c r="AK4" s="71" t="s">
        <v>366</v>
      </c>
      <c r="AM4" s="71" t="s">
        <v>367</v>
      </c>
    </row>
    <row r="5" spans="2:41" ht="13.8" x14ac:dyDescent="0.3">
      <c r="B5" s="70" t="s">
        <v>139</v>
      </c>
      <c r="D5" s="70" t="s">
        <v>139</v>
      </c>
      <c r="F5" s="70" t="s">
        <v>139</v>
      </c>
      <c r="H5" s="70" t="s">
        <v>139</v>
      </c>
      <c r="I5" s="70"/>
      <c r="J5" s="70" t="s">
        <v>139</v>
      </c>
      <c r="L5" s="70" t="s">
        <v>139</v>
      </c>
      <c r="M5" s="70" t="s">
        <v>139</v>
      </c>
      <c r="O5" s="70" t="s">
        <v>368</v>
      </c>
      <c r="Q5" s="70" t="s">
        <v>212</v>
      </c>
      <c r="S5" s="70" t="s">
        <v>369</v>
      </c>
      <c r="U5" s="285">
        <v>7.0000000000000007E-2</v>
      </c>
      <c r="W5" s="70" t="s">
        <v>370</v>
      </c>
      <c r="Y5" s="70" t="s">
        <v>371</v>
      </c>
      <c r="AA5" s="70" t="s">
        <v>141</v>
      </c>
      <c r="AC5" s="70" t="s">
        <v>19</v>
      </c>
      <c r="AD5" s="164">
        <v>0.01</v>
      </c>
      <c r="AE5" s="164">
        <v>0.6</v>
      </c>
      <c r="AG5" s="70" t="s">
        <v>372</v>
      </c>
      <c r="AI5" s="70" t="s">
        <v>372</v>
      </c>
      <c r="AK5" s="70" t="s">
        <v>142</v>
      </c>
      <c r="AM5" s="70" t="s">
        <v>373</v>
      </c>
    </row>
    <row r="6" spans="2:41" ht="13.8" x14ac:dyDescent="0.3">
      <c r="B6" s="70" t="s">
        <v>30</v>
      </c>
      <c r="D6" s="70" t="s">
        <v>71</v>
      </c>
      <c r="E6" s="70"/>
      <c r="F6" s="70" t="s">
        <v>374</v>
      </c>
      <c r="H6" s="70" t="s">
        <v>374</v>
      </c>
      <c r="I6" s="70"/>
      <c r="J6" s="70" t="s">
        <v>85</v>
      </c>
      <c r="L6" s="70" t="s">
        <v>375</v>
      </c>
      <c r="M6" s="70" t="s">
        <v>376</v>
      </c>
      <c r="O6" s="70" t="s">
        <v>377</v>
      </c>
      <c r="Q6" s="70" t="s">
        <v>329</v>
      </c>
      <c r="S6" s="70" t="s">
        <v>378</v>
      </c>
      <c r="U6" s="285">
        <v>7.4999999999999997E-2</v>
      </c>
      <c r="W6" s="70" t="s">
        <v>379</v>
      </c>
      <c r="Y6" s="70" t="s">
        <v>380</v>
      </c>
      <c r="AA6" s="70" t="s">
        <v>85</v>
      </c>
      <c r="AC6" s="70" t="s">
        <v>381</v>
      </c>
      <c r="AD6" s="164">
        <v>0.61</v>
      </c>
      <c r="AE6" s="164">
        <v>0.8</v>
      </c>
      <c r="AG6" s="70" t="s">
        <v>382</v>
      </c>
      <c r="AI6" s="70" t="s">
        <v>383</v>
      </c>
      <c r="AK6" s="70" t="s">
        <v>384</v>
      </c>
      <c r="AM6" s="70" t="s">
        <v>385</v>
      </c>
    </row>
    <row r="7" spans="2:41" ht="13.8" x14ac:dyDescent="0.3">
      <c r="B7" s="70" t="s">
        <v>31</v>
      </c>
      <c r="D7" s="70" t="s">
        <v>38</v>
      </c>
      <c r="F7" s="70" t="s">
        <v>137</v>
      </c>
      <c r="H7" s="69" t="s">
        <v>138</v>
      </c>
      <c r="I7" s="69"/>
      <c r="J7" s="70" t="s">
        <v>386</v>
      </c>
      <c r="L7" s="70" t="s">
        <v>387</v>
      </c>
      <c r="M7" s="70" t="s">
        <v>388</v>
      </c>
      <c r="O7" s="70" t="s">
        <v>139</v>
      </c>
      <c r="Q7" s="70" t="s">
        <v>139</v>
      </c>
      <c r="S7" s="70" t="s">
        <v>389</v>
      </c>
      <c r="U7" s="285">
        <v>0.08</v>
      </c>
      <c r="W7" s="70" t="s">
        <v>390</v>
      </c>
      <c r="Y7" s="70" t="s">
        <v>391</v>
      </c>
      <c r="AC7" s="70" t="s">
        <v>392</v>
      </c>
      <c r="AD7" s="164">
        <v>0.81</v>
      </c>
      <c r="AE7" s="164">
        <v>1.2</v>
      </c>
      <c r="AI7" s="70" t="s">
        <v>393</v>
      </c>
      <c r="AK7" s="70" t="s">
        <v>394</v>
      </c>
      <c r="AM7" s="70" t="s">
        <v>395</v>
      </c>
    </row>
    <row r="8" spans="2:41" ht="13.8" x14ac:dyDescent="0.3">
      <c r="B8" s="70" t="s">
        <v>32</v>
      </c>
      <c r="D8" s="69">
        <v>0.2</v>
      </c>
      <c r="F8" s="70" t="s">
        <v>396</v>
      </c>
      <c r="H8" s="69" t="s">
        <v>397</v>
      </c>
      <c r="I8" s="69"/>
      <c r="J8" s="69" t="s">
        <v>398</v>
      </c>
      <c r="L8" s="1" t="s">
        <v>399</v>
      </c>
      <c r="M8" s="70" t="s">
        <v>400</v>
      </c>
      <c r="S8" s="70" t="s">
        <v>401</v>
      </c>
      <c r="U8" s="285">
        <v>8.5000000000000006E-2</v>
      </c>
      <c r="AD8" s="164"/>
      <c r="AE8" s="164"/>
      <c r="AI8" s="70" t="s">
        <v>402</v>
      </c>
      <c r="AK8" s="70" t="s">
        <v>403</v>
      </c>
    </row>
    <row r="9" spans="2:41" ht="13.8" x14ac:dyDescent="0.3">
      <c r="B9" s="70" t="s">
        <v>33</v>
      </c>
      <c r="D9" s="69">
        <v>0.25</v>
      </c>
      <c r="F9" s="70" t="s">
        <v>38</v>
      </c>
      <c r="H9" s="70"/>
      <c r="I9" s="70"/>
      <c r="J9" s="69"/>
      <c r="L9" s="70" t="s">
        <v>393</v>
      </c>
      <c r="M9" s="70" t="s">
        <v>404</v>
      </c>
      <c r="S9" s="70" t="s">
        <v>405</v>
      </c>
      <c r="U9" s="285">
        <v>0.09</v>
      </c>
      <c r="AD9" s="70"/>
      <c r="AE9" s="70"/>
      <c r="AK9" s="70" t="s">
        <v>406</v>
      </c>
    </row>
    <row r="10" spans="2:41" ht="13.8" x14ac:dyDescent="0.3">
      <c r="B10" s="70" t="s">
        <v>34</v>
      </c>
      <c r="D10" s="69">
        <v>0.3</v>
      </c>
      <c r="H10" s="70"/>
      <c r="I10" s="70"/>
      <c r="J10" s="70"/>
      <c r="S10" s="70" t="s">
        <v>139</v>
      </c>
      <c r="U10" s="285">
        <v>9.5000000000000001E-2</v>
      </c>
      <c r="AK10" s="70" t="s">
        <v>407</v>
      </c>
    </row>
    <row r="11" spans="2:41" ht="13.8" x14ac:dyDescent="0.3">
      <c r="B11" s="70"/>
      <c r="D11" s="69">
        <v>0.35</v>
      </c>
      <c r="U11" s="285">
        <v>0.1</v>
      </c>
      <c r="AK11" s="70" t="s">
        <v>408</v>
      </c>
    </row>
    <row r="12" spans="2:41" ht="13.8" x14ac:dyDescent="0.3">
      <c r="D12" s="69">
        <v>0.4</v>
      </c>
      <c r="U12" s="70" t="s">
        <v>16</v>
      </c>
      <c r="AK12" s="70" t="s">
        <v>409</v>
      </c>
    </row>
    <row r="13" spans="2:41" ht="13.8" x14ac:dyDescent="0.3">
      <c r="D13" s="69">
        <v>0.45</v>
      </c>
      <c r="AK13" s="70" t="s">
        <v>139</v>
      </c>
    </row>
    <row r="14" spans="2:41" ht="13.8" x14ac:dyDescent="0.3">
      <c r="D14" s="69">
        <v>0.5</v>
      </c>
    </row>
    <row r="15" spans="2:41" ht="13.8" x14ac:dyDescent="0.3">
      <c r="D15" s="69">
        <v>0.55000000000000004</v>
      </c>
    </row>
    <row r="16" spans="2:41" ht="13.8" x14ac:dyDescent="0.3">
      <c r="D16" s="69">
        <v>0.6</v>
      </c>
    </row>
    <row r="17" spans="4:4" ht="13.8" x14ac:dyDescent="0.3">
      <c r="D17" s="69">
        <v>0.65</v>
      </c>
    </row>
    <row r="18" spans="4:4" ht="13.8" x14ac:dyDescent="0.3">
      <c r="D18" s="69">
        <v>0.7</v>
      </c>
    </row>
    <row r="19" spans="4:4" ht="12.75" customHeight="1" x14ac:dyDescent="0.3">
      <c r="D19" s="69">
        <v>0.75</v>
      </c>
    </row>
    <row r="20" spans="4:4" ht="12.75" customHeight="1" x14ac:dyDescent="0.3">
      <c r="D20" s="69">
        <v>0.8</v>
      </c>
    </row>
    <row r="21" spans="4:4" ht="12.75" customHeight="1" x14ac:dyDescent="0.3">
      <c r="D21" s="69">
        <v>0.85</v>
      </c>
    </row>
    <row r="22" spans="4:4" ht="12.75" customHeight="1" x14ac:dyDescent="0.3">
      <c r="D22" s="69">
        <v>0.9</v>
      </c>
    </row>
    <row r="23" spans="4:4" ht="12.75" customHeight="1" x14ac:dyDescent="0.3">
      <c r="D23" s="69">
        <v>0.95</v>
      </c>
    </row>
    <row r="24" spans="4:4" ht="12.75" customHeight="1" x14ac:dyDescent="0.3">
      <c r="D24" s="69">
        <v>1</v>
      </c>
    </row>
    <row r="25" spans="4:4" ht="12.75" customHeight="1" x14ac:dyDescent="0.3">
      <c r="D25" s="69">
        <v>1.05</v>
      </c>
    </row>
    <row r="26" spans="4:4" ht="12.75" customHeight="1" x14ac:dyDescent="0.3">
      <c r="D26" s="69">
        <v>1.1000000000000001</v>
      </c>
    </row>
    <row r="27" spans="4:4" ht="12.75" customHeight="1" x14ac:dyDescent="0.3">
      <c r="D27" s="69">
        <v>1.1499999999999999</v>
      </c>
    </row>
    <row r="28" spans="4:4" ht="12.75" customHeight="1" x14ac:dyDescent="0.3">
      <c r="D28" s="69">
        <v>1.2</v>
      </c>
    </row>
  </sheetData>
  <phoneticPr fontId="1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065A-80CF-4D36-86BC-061DFC8EE65A}">
  <dimension ref="B1:AB58"/>
  <sheetViews>
    <sheetView showGridLines="0" topLeftCell="A16" zoomScaleNormal="100" workbookViewId="0">
      <selection activeCell="K11" sqref="K11"/>
    </sheetView>
  </sheetViews>
  <sheetFormatPr defaultColWidth="15.6640625" defaultRowHeight="13.8" x14ac:dyDescent="0.3"/>
  <cols>
    <col min="1" max="1" width="2.6640625" style="1" customWidth="1"/>
    <col min="2" max="10" width="15.6640625" style="1"/>
    <col min="11" max="23" width="15.6640625" style="1" customWidth="1"/>
    <col min="24" max="16384" width="15.6640625" style="1"/>
  </cols>
  <sheetData>
    <row r="1" spans="2:28" s="2" customFormat="1" ht="15.6" x14ac:dyDescent="0.3">
      <c r="B1" s="2" t="s">
        <v>0</v>
      </c>
    </row>
    <row r="2" spans="2:28" x14ac:dyDescent="0.3">
      <c r="B2" s="1" t="s">
        <v>410</v>
      </c>
    </row>
    <row r="3" spans="2:28" x14ac:dyDescent="0.3">
      <c r="L3" s="70"/>
    </row>
    <row r="4" spans="2:28" s="5" customFormat="1" ht="15" customHeight="1" x14ac:dyDescent="0.3">
      <c r="B4" s="61" t="s">
        <v>3</v>
      </c>
      <c r="C4" s="194" t="s">
        <v>4</v>
      </c>
      <c r="D4" s="62" t="s">
        <v>5</v>
      </c>
      <c r="E4" s="63" t="s">
        <v>6</v>
      </c>
      <c r="L4" s="70"/>
    </row>
    <row r="5" spans="2:28" x14ac:dyDescent="0.3">
      <c r="L5" s="70"/>
    </row>
    <row r="6" spans="2:28" x14ac:dyDescent="0.3">
      <c r="B6" s="22" t="s">
        <v>411</v>
      </c>
      <c r="C6" s="449">
        <v>2025</v>
      </c>
      <c r="I6" s="22" t="s">
        <v>412</v>
      </c>
      <c r="J6" s="449">
        <v>2025</v>
      </c>
    </row>
    <row r="8" spans="2:28" x14ac:dyDescent="0.3">
      <c r="B8" s="6" t="s">
        <v>413</v>
      </c>
      <c r="C8" s="7"/>
      <c r="D8" s="7"/>
      <c r="E8" s="7"/>
      <c r="F8" s="7"/>
      <c r="G8" s="8"/>
      <c r="I8" s="6" t="s">
        <v>414</v>
      </c>
      <c r="J8" s="9"/>
      <c r="K8" s="557" t="s">
        <v>373</v>
      </c>
      <c r="L8" s="557"/>
      <c r="M8" s="557"/>
      <c r="N8" s="557"/>
      <c r="O8" s="557"/>
      <c r="P8" s="557"/>
      <c r="Q8" s="557" t="s">
        <v>415</v>
      </c>
      <c r="R8" s="557"/>
      <c r="S8" s="557"/>
      <c r="T8" s="557"/>
      <c r="U8" s="557"/>
      <c r="V8" s="557"/>
      <c r="W8" s="557" t="s">
        <v>416</v>
      </c>
      <c r="X8" s="557"/>
      <c r="Y8" s="557"/>
      <c r="Z8" s="557"/>
      <c r="AA8" s="557"/>
      <c r="AB8" s="558"/>
    </row>
    <row r="9" spans="2:28" x14ac:dyDescent="0.3">
      <c r="B9" s="307" t="s">
        <v>29</v>
      </c>
      <c r="C9" s="10" t="s">
        <v>30</v>
      </c>
      <c r="D9" s="10" t="s">
        <v>31</v>
      </c>
      <c r="E9" s="10" t="s">
        <v>32</v>
      </c>
      <c r="F9" s="10" t="s">
        <v>33</v>
      </c>
      <c r="G9" s="10" t="s">
        <v>34</v>
      </c>
      <c r="I9" s="618" t="s">
        <v>81</v>
      </c>
      <c r="J9" s="618"/>
      <c r="K9" s="659" t="s">
        <v>370</v>
      </c>
      <c r="L9" s="660"/>
      <c r="M9" s="660"/>
      <c r="N9" s="660"/>
      <c r="O9" s="660"/>
      <c r="P9" s="661"/>
      <c r="Q9" s="659" t="s">
        <v>379</v>
      </c>
      <c r="R9" s="660"/>
      <c r="S9" s="660"/>
      <c r="T9" s="660"/>
      <c r="U9" s="660"/>
      <c r="V9" s="661"/>
      <c r="W9" s="659" t="s">
        <v>390</v>
      </c>
      <c r="X9" s="660"/>
      <c r="Y9" s="660"/>
      <c r="Z9" s="660"/>
      <c r="AA9" s="660"/>
      <c r="AB9" s="661"/>
    </row>
    <row r="10" spans="2:28" x14ac:dyDescent="0.3">
      <c r="B10" s="442">
        <v>0.2</v>
      </c>
      <c r="C10" s="286">
        <f>$B10*$C$26</f>
        <v>353.40000000000003</v>
      </c>
      <c r="D10" s="286">
        <f>$B10*D$26</f>
        <v>378.6</v>
      </c>
      <c r="E10" s="286">
        <f>$B10*E$26</f>
        <v>454.40000000000003</v>
      </c>
      <c r="F10" s="286">
        <v>498</v>
      </c>
      <c r="G10" s="374">
        <f>$B10*G$26</f>
        <v>586</v>
      </c>
      <c r="I10" s="618"/>
      <c r="J10" s="618"/>
      <c r="K10" s="75" t="s">
        <v>82</v>
      </c>
      <c r="L10" s="307" t="s">
        <v>417</v>
      </c>
      <c r="M10" s="307" t="s">
        <v>418</v>
      </c>
      <c r="N10" s="307" t="s">
        <v>419</v>
      </c>
      <c r="O10" s="307" t="s">
        <v>420</v>
      </c>
      <c r="P10" s="307" t="s">
        <v>421</v>
      </c>
      <c r="Q10" s="75" t="s">
        <v>82</v>
      </c>
      <c r="R10" s="307" t="s">
        <v>417</v>
      </c>
      <c r="S10" s="307" t="s">
        <v>418</v>
      </c>
      <c r="T10" s="307" t="s">
        <v>419</v>
      </c>
      <c r="U10" s="307" t="s">
        <v>420</v>
      </c>
      <c r="V10" s="307" t="s">
        <v>421</v>
      </c>
      <c r="W10" s="75" t="s">
        <v>82</v>
      </c>
      <c r="X10" s="307" t="s">
        <v>417</v>
      </c>
      <c r="Y10" s="307" t="s">
        <v>418</v>
      </c>
      <c r="Z10" s="307" t="s">
        <v>419</v>
      </c>
      <c r="AA10" s="307" t="s">
        <v>420</v>
      </c>
      <c r="AB10" s="307" t="s">
        <v>421</v>
      </c>
    </row>
    <row r="11" spans="2:28" x14ac:dyDescent="0.3">
      <c r="B11" s="443">
        <v>0.25</v>
      </c>
      <c r="C11" s="372">
        <f t="shared" ref="C11:C30" si="0">B11*$C$26</f>
        <v>441.75</v>
      </c>
      <c r="D11" s="372">
        <f t="shared" ref="D11:F30" si="1">$B11*D$26</f>
        <v>473.25</v>
      </c>
      <c r="E11" s="372">
        <f t="shared" si="1"/>
        <v>568</v>
      </c>
      <c r="F11" s="372">
        <f t="shared" si="1"/>
        <v>656.5</v>
      </c>
      <c r="G11" s="375">
        <f t="shared" ref="G11:G30" si="2">$B11*G$26</f>
        <v>732.5</v>
      </c>
      <c r="I11" s="11" t="s">
        <v>83</v>
      </c>
      <c r="J11" s="12" t="s">
        <v>84</v>
      </c>
      <c r="K11" s="357" t="str">
        <f>IF(Overview!$D$15="High-rise, Low-rise",'Unit Summary - Rent Roll'!$Z6,"N")</f>
        <v>N</v>
      </c>
      <c r="L11" s="320">
        <v>22</v>
      </c>
      <c r="M11" s="320">
        <v>25</v>
      </c>
      <c r="N11" s="320">
        <v>30</v>
      </c>
      <c r="O11" s="320">
        <v>34</v>
      </c>
      <c r="P11" s="321">
        <v>38</v>
      </c>
      <c r="Q11" s="357" t="str">
        <f>IF(Overview!$D$16="Townhouse, Duplex, Triplex, Fourplex",'Unit Summary - Rent Roll'!$Z6,"N")</f>
        <v>N</v>
      </c>
      <c r="R11" s="320">
        <v>38</v>
      </c>
      <c r="S11" s="320">
        <v>45</v>
      </c>
      <c r="T11" s="320">
        <v>48</v>
      </c>
      <c r="U11" s="320">
        <v>51</v>
      </c>
      <c r="V11" s="321">
        <v>55</v>
      </c>
      <c r="W11" s="357" t="str">
        <f>IF(Overview!$D$16="Single Family Detached, Manufactured Home",'Unit Summary - Rent Roll'!$Z6,"N")</f>
        <v>N</v>
      </c>
      <c r="X11" s="320">
        <v>31</v>
      </c>
      <c r="Y11" s="320">
        <v>36</v>
      </c>
      <c r="Z11" s="320">
        <v>42</v>
      </c>
      <c r="AA11" s="320">
        <v>48</v>
      </c>
      <c r="AB11" s="321">
        <v>55</v>
      </c>
    </row>
    <row r="12" spans="2:28" x14ac:dyDescent="0.3">
      <c r="B12" s="443">
        <v>0.3</v>
      </c>
      <c r="C12" s="372">
        <f t="shared" si="0"/>
        <v>530.1</v>
      </c>
      <c r="D12" s="372">
        <f t="shared" si="1"/>
        <v>567.9</v>
      </c>
      <c r="E12" s="372">
        <f t="shared" si="1"/>
        <v>681.6</v>
      </c>
      <c r="F12" s="372">
        <f t="shared" si="1"/>
        <v>787.8</v>
      </c>
      <c r="G12" s="375">
        <f t="shared" si="2"/>
        <v>879</v>
      </c>
      <c r="I12" s="13"/>
      <c r="J12" s="14" t="s">
        <v>422</v>
      </c>
      <c r="K12" s="358" t="str">
        <f>IF(Overview!$D$15="High-rise, Low-rise",'Unit Summary - Rent Roll'!$Z7,"N")</f>
        <v>N</v>
      </c>
      <c r="L12" s="322">
        <v>34</v>
      </c>
      <c r="M12" s="322">
        <v>40</v>
      </c>
      <c r="N12" s="322">
        <v>55</v>
      </c>
      <c r="O12" s="322">
        <v>69</v>
      </c>
      <c r="P12" s="323">
        <v>84</v>
      </c>
      <c r="Q12" s="358" t="str">
        <f>IF(Overview!$D$16="Townhouse, Duplex, Triplex, Fourplex",'Unit Summary - Rent Roll'!$Z7,"N")</f>
        <v>N</v>
      </c>
      <c r="R12" s="322">
        <v>49</v>
      </c>
      <c r="S12" s="322">
        <v>58</v>
      </c>
      <c r="T12" s="322">
        <v>76</v>
      </c>
      <c r="U12" s="322">
        <v>94</v>
      </c>
      <c r="V12" s="323">
        <v>111</v>
      </c>
      <c r="W12" s="358" t="str">
        <f>IF(Overview!$D$16="Single Family Detached, Manufactured Home",'Unit Summary - Rent Roll'!$Z7,"N")</f>
        <v>N</v>
      </c>
      <c r="X12" s="322">
        <v>81</v>
      </c>
      <c r="Y12" s="322">
        <v>95</v>
      </c>
      <c r="Z12" s="322">
        <v>111</v>
      </c>
      <c r="AA12" s="322">
        <v>128</v>
      </c>
      <c r="AB12" s="323">
        <v>144</v>
      </c>
    </row>
    <row r="13" spans="2:28" x14ac:dyDescent="0.3">
      <c r="B13" s="443">
        <v>0.35</v>
      </c>
      <c r="C13" s="372">
        <f t="shared" si="0"/>
        <v>618.44999999999993</v>
      </c>
      <c r="D13" s="372">
        <f t="shared" si="1"/>
        <v>662.55</v>
      </c>
      <c r="E13" s="372">
        <f t="shared" si="1"/>
        <v>795.19999999999993</v>
      </c>
      <c r="F13" s="372">
        <f t="shared" si="1"/>
        <v>919.09999999999991</v>
      </c>
      <c r="G13" s="375">
        <f t="shared" si="2"/>
        <v>1025.5</v>
      </c>
      <c r="I13" s="13"/>
      <c r="J13" s="14" t="s">
        <v>87</v>
      </c>
      <c r="K13" s="358" t="str">
        <f>IF(Overview!$D$15="High-rise, Low-rise",'Unit Summary - Rent Roll'!$Z8,"N")</f>
        <v>N</v>
      </c>
      <c r="L13" s="322">
        <v>30</v>
      </c>
      <c r="M13" s="322">
        <v>36</v>
      </c>
      <c r="N13" s="322">
        <v>42</v>
      </c>
      <c r="O13" s="322">
        <v>47</v>
      </c>
      <c r="P13" s="323">
        <v>53</v>
      </c>
      <c r="Q13" s="358" t="str">
        <f>IF(Overview!$D$16="Townhouse, Duplex, Triplex, Fourplex",'Unit Summary - Rent Roll'!$Z8,"N")</f>
        <v>N</v>
      </c>
      <c r="R13" s="322">
        <v>39</v>
      </c>
      <c r="S13" s="322">
        <v>46</v>
      </c>
      <c r="T13" s="322">
        <v>54</v>
      </c>
      <c r="U13" s="322">
        <v>61</v>
      </c>
      <c r="V13" s="323">
        <v>68</v>
      </c>
      <c r="W13" s="358" t="str">
        <f>IF(Overview!$D$16="Single Family Detached, Manufactured Home",'Unit Summary - Rent Roll'!$Z8,"N")</f>
        <v>N</v>
      </c>
      <c r="X13" s="322">
        <v>43</v>
      </c>
      <c r="Y13" s="322">
        <v>51</v>
      </c>
      <c r="Z13" s="322">
        <v>60</v>
      </c>
      <c r="AA13" s="322">
        <v>68</v>
      </c>
      <c r="AB13" s="323">
        <v>75</v>
      </c>
    </row>
    <row r="14" spans="2:28" x14ac:dyDescent="0.3">
      <c r="B14" s="443">
        <v>0.4</v>
      </c>
      <c r="C14" s="372">
        <f t="shared" si="0"/>
        <v>706.80000000000007</v>
      </c>
      <c r="D14" s="372">
        <f t="shared" si="1"/>
        <v>757.2</v>
      </c>
      <c r="E14" s="372">
        <f t="shared" si="1"/>
        <v>908.80000000000007</v>
      </c>
      <c r="F14" s="372">
        <f t="shared" si="1"/>
        <v>1050.4000000000001</v>
      </c>
      <c r="G14" s="375">
        <f t="shared" si="2"/>
        <v>1172</v>
      </c>
      <c r="I14" s="13" t="s">
        <v>88</v>
      </c>
      <c r="J14" s="14" t="s">
        <v>84</v>
      </c>
      <c r="K14" s="358" t="str">
        <f>IF(Overview!$D$15="High-rise, Low-rise",'Unit Summary - Rent Roll'!$Z9,"N")</f>
        <v>N</v>
      </c>
      <c r="L14" s="322">
        <v>2</v>
      </c>
      <c r="M14" s="322">
        <v>3</v>
      </c>
      <c r="N14" s="322">
        <v>4</v>
      </c>
      <c r="O14" s="322">
        <v>5</v>
      </c>
      <c r="P14" s="323">
        <v>6</v>
      </c>
      <c r="Q14" s="358" t="str">
        <f>IF(Overview!$D$16="Townhouse, Duplex, Triplex, Fourplex",'Unit Summary - Rent Roll'!$Z9,"N")</f>
        <v>N</v>
      </c>
      <c r="R14" s="322">
        <v>2</v>
      </c>
      <c r="S14" s="322">
        <v>3</v>
      </c>
      <c r="T14" s="322">
        <v>4</v>
      </c>
      <c r="U14" s="322">
        <v>5</v>
      </c>
      <c r="V14" s="323">
        <v>6</v>
      </c>
      <c r="W14" s="358" t="str">
        <f>IF(Overview!$D$16="Single Family Detached, Manufactured Home",'Unit Summary - Rent Roll'!$Z9,"N")</f>
        <v>N</v>
      </c>
      <c r="X14" s="322">
        <v>2</v>
      </c>
      <c r="Y14" s="322">
        <v>3</v>
      </c>
      <c r="Z14" s="322">
        <v>4</v>
      </c>
      <c r="AA14" s="322">
        <v>5</v>
      </c>
      <c r="AB14" s="323">
        <v>6</v>
      </c>
    </row>
    <row r="15" spans="2:28" x14ac:dyDescent="0.3">
      <c r="B15" s="443">
        <v>0.45</v>
      </c>
      <c r="C15" s="372">
        <f t="shared" si="0"/>
        <v>795.15</v>
      </c>
      <c r="D15" s="372">
        <f t="shared" si="1"/>
        <v>851.85</v>
      </c>
      <c r="E15" s="372">
        <f t="shared" si="1"/>
        <v>1022.4</v>
      </c>
      <c r="F15" s="372">
        <f t="shared" si="1"/>
        <v>1181.7</v>
      </c>
      <c r="G15" s="375">
        <f t="shared" si="2"/>
        <v>1318.5</v>
      </c>
      <c r="I15" s="13"/>
      <c r="J15" s="14" t="s">
        <v>89</v>
      </c>
      <c r="K15" s="358" t="str">
        <f>IF(Overview!$D$15="High-rise, Low-rise",'Unit Summary - Rent Roll'!$Z10,"N")</f>
        <v>N</v>
      </c>
      <c r="L15" s="322">
        <v>8</v>
      </c>
      <c r="M15" s="322">
        <v>9</v>
      </c>
      <c r="N15" s="322">
        <v>13</v>
      </c>
      <c r="O15" s="322">
        <v>17</v>
      </c>
      <c r="P15" s="323">
        <v>21</v>
      </c>
      <c r="Q15" s="358" t="str">
        <f>IF(Overview!$D$16="Townhouse, Duplex, Triplex, Fourplex",'Unit Summary - Rent Roll'!$Z10,"N")</f>
        <v>N</v>
      </c>
      <c r="R15" s="322">
        <v>8</v>
      </c>
      <c r="S15" s="322">
        <v>9</v>
      </c>
      <c r="T15" s="322">
        <v>13</v>
      </c>
      <c r="U15" s="322">
        <v>17</v>
      </c>
      <c r="V15" s="323">
        <v>21</v>
      </c>
      <c r="W15" s="358" t="str">
        <f>IF(Overview!$D$16="Single Family Detached, Manufactured Home",'Unit Summary - Rent Roll'!$Z10,"N")</f>
        <v>N</v>
      </c>
      <c r="X15" s="322">
        <v>8</v>
      </c>
      <c r="Y15" s="322">
        <v>9</v>
      </c>
      <c r="Z15" s="322">
        <v>13</v>
      </c>
      <c r="AA15" s="322">
        <v>17</v>
      </c>
      <c r="AB15" s="323">
        <v>21</v>
      </c>
    </row>
    <row r="16" spans="2:28" x14ac:dyDescent="0.3">
      <c r="B16" s="443">
        <v>0.5</v>
      </c>
      <c r="C16" s="372">
        <f t="shared" si="0"/>
        <v>883.5</v>
      </c>
      <c r="D16" s="372">
        <f t="shared" si="1"/>
        <v>946.5</v>
      </c>
      <c r="E16" s="372">
        <f t="shared" si="1"/>
        <v>1136</v>
      </c>
      <c r="F16" s="372">
        <f t="shared" si="1"/>
        <v>1313</v>
      </c>
      <c r="G16" s="375">
        <f t="shared" si="2"/>
        <v>1465</v>
      </c>
      <c r="I16" s="13" t="s">
        <v>90</v>
      </c>
      <c r="J16" s="14" t="s">
        <v>84</v>
      </c>
      <c r="K16" s="358" t="str">
        <f>IF(Overview!$D$15="High-rise, Low-rise",'Unit Summary - Rent Roll'!$Z11,"N")</f>
        <v>N</v>
      </c>
      <c r="L16" s="322">
        <v>6</v>
      </c>
      <c r="M16" s="322">
        <v>7</v>
      </c>
      <c r="N16" s="322">
        <v>10</v>
      </c>
      <c r="O16" s="322">
        <v>13</v>
      </c>
      <c r="P16" s="323">
        <v>16</v>
      </c>
      <c r="Q16" s="358" t="str">
        <f>IF(Overview!$D$16="Townhouse, Duplex, Triplex, Fourplex",'Unit Summary - Rent Roll'!$Z11,"N")</f>
        <v>N</v>
      </c>
      <c r="R16" s="322">
        <v>7</v>
      </c>
      <c r="S16" s="322">
        <v>8</v>
      </c>
      <c r="T16" s="322">
        <v>12</v>
      </c>
      <c r="U16" s="322">
        <v>16</v>
      </c>
      <c r="V16" s="323">
        <v>20</v>
      </c>
      <c r="W16" s="358" t="str">
        <f>IF(Overview!$D$16="Single Family Detached, Manufactured Home",'Unit Summary - Rent Roll'!$Z11,"N")</f>
        <v>N</v>
      </c>
      <c r="X16" s="322">
        <v>7</v>
      </c>
      <c r="Y16" s="322">
        <v>8</v>
      </c>
      <c r="Z16" s="322">
        <v>12</v>
      </c>
      <c r="AA16" s="322">
        <v>16</v>
      </c>
      <c r="AB16" s="323">
        <v>20</v>
      </c>
    </row>
    <row r="17" spans="2:28" x14ac:dyDescent="0.3">
      <c r="B17" s="443">
        <v>0.55000000000000004</v>
      </c>
      <c r="C17" s="372">
        <f t="shared" si="0"/>
        <v>971.85</v>
      </c>
      <c r="D17" s="372">
        <f t="shared" si="1"/>
        <v>1041.1500000000001</v>
      </c>
      <c r="E17" s="372">
        <f t="shared" si="1"/>
        <v>1249.6000000000001</v>
      </c>
      <c r="F17" s="372">
        <f t="shared" si="1"/>
        <v>1444.3000000000002</v>
      </c>
      <c r="G17" s="375">
        <f t="shared" si="2"/>
        <v>1611.5000000000002</v>
      </c>
      <c r="I17" s="13"/>
      <c r="J17" s="14" t="s">
        <v>89</v>
      </c>
      <c r="K17" s="358" t="str">
        <f>IF(Overview!$D$15="High-rise, Low-rise",'Unit Summary - Rent Roll'!$Z12,"N")</f>
        <v>N</v>
      </c>
      <c r="L17" s="322">
        <v>21</v>
      </c>
      <c r="M17" s="322">
        <v>24</v>
      </c>
      <c r="N17" s="322">
        <v>31</v>
      </c>
      <c r="O17" s="322">
        <v>37</v>
      </c>
      <c r="P17" s="323">
        <v>44</v>
      </c>
      <c r="Q17" s="358" t="str">
        <f>IF(Overview!$D$16="Townhouse, Duplex, Triplex, Fourplex",'Unit Summary - Rent Roll'!$Z12,"N")</f>
        <v>N</v>
      </c>
      <c r="R17" s="322">
        <v>26</v>
      </c>
      <c r="S17" s="322">
        <v>30</v>
      </c>
      <c r="T17" s="322">
        <v>38</v>
      </c>
      <c r="U17" s="322">
        <v>47</v>
      </c>
      <c r="V17" s="323">
        <v>55</v>
      </c>
      <c r="W17" s="358" t="str">
        <f>IF(Overview!$D$16="Single Family Detached, Manufactured Home",'Unit Summary - Rent Roll'!$Z12,"N")</f>
        <v>N</v>
      </c>
      <c r="X17" s="322">
        <v>26</v>
      </c>
      <c r="Y17" s="322">
        <v>30</v>
      </c>
      <c r="Z17" s="322">
        <v>38</v>
      </c>
      <c r="AA17" s="322">
        <v>47</v>
      </c>
      <c r="AB17" s="323">
        <v>55</v>
      </c>
    </row>
    <row r="18" spans="2:28" x14ac:dyDescent="0.3">
      <c r="B18" s="443">
        <v>0.6</v>
      </c>
      <c r="C18" s="372">
        <f t="shared" si="0"/>
        <v>1060.2</v>
      </c>
      <c r="D18" s="372">
        <f t="shared" si="1"/>
        <v>1135.8</v>
      </c>
      <c r="E18" s="372">
        <f t="shared" si="1"/>
        <v>1363.2</v>
      </c>
      <c r="F18" s="372">
        <f t="shared" si="1"/>
        <v>1575.6</v>
      </c>
      <c r="G18" s="375">
        <f t="shared" si="2"/>
        <v>1758</v>
      </c>
      <c r="I18" s="15" t="s">
        <v>92</v>
      </c>
      <c r="J18" s="16"/>
      <c r="K18" s="358" t="str">
        <f>IF(Overview!$D$15="High-rise, Low-rise",'Unit Summary - Rent Roll'!$Z13,"N")</f>
        <v>N</v>
      </c>
      <c r="L18" s="322">
        <v>29</v>
      </c>
      <c r="M18" s="322">
        <v>35</v>
      </c>
      <c r="N18" s="322">
        <v>48</v>
      </c>
      <c r="O18" s="322">
        <v>62</v>
      </c>
      <c r="P18" s="323">
        <v>75</v>
      </c>
      <c r="Q18" s="358" t="str">
        <f>IF(Overview!$D$16="Townhouse, Duplex, Triplex, Fourplex",'Unit Summary - Rent Roll'!$Z13,"N")</f>
        <v>N</v>
      </c>
      <c r="R18" s="322">
        <v>36</v>
      </c>
      <c r="S18" s="322">
        <v>42</v>
      </c>
      <c r="T18" s="322">
        <v>59</v>
      </c>
      <c r="U18" s="322">
        <v>75</v>
      </c>
      <c r="V18" s="323">
        <v>92</v>
      </c>
      <c r="W18" s="358" t="str">
        <f>IF(Overview!$D$16="Single Family Detached, Manufactured Home",'Unit Summary - Rent Roll'!$Z13,"N")</f>
        <v>N</v>
      </c>
      <c r="X18" s="322">
        <v>43</v>
      </c>
      <c r="Y18" s="322">
        <v>51</v>
      </c>
      <c r="Z18" s="322">
        <v>71</v>
      </c>
      <c r="AA18" s="322">
        <v>91</v>
      </c>
      <c r="AB18" s="323">
        <v>111</v>
      </c>
    </row>
    <row r="19" spans="2:28" x14ac:dyDescent="0.3">
      <c r="B19" s="443">
        <v>0.65</v>
      </c>
      <c r="C19" s="372">
        <f t="shared" si="0"/>
        <v>1148.55</v>
      </c>
      <c r="D19" s="372">
        <f t="shared" si="1"/>
        <v>1230.45</v>
      </c>
      <c r="E19" s="372">
        <f t="shared" si="1"/>
        <v>1476.8</v>
      </c>
      <c r="F19" s="372">
        <f t="shared" si="1"/>
        <v>1706.9</v>
      </c>
      <c r="G19" s="375">
        <f t="shared" si="2"/>
        <v>1904.5</v>
      </c>
      <c r="I19" s="15" t="s">
        <v>96</v>
      </c>
      <c r="J19" s="16"/>
      <c r="K19" s="358" t="str">
        <f>IF(Overview!$D$15="High-rise, Low-rise",'Unit Summary - Rent Roll'!$Z14,"N")</f>
        <v>N</v>
      </c>
      <c r="L19" s="322">
        <v>25</v>
      </c>
      <c r="M19" s="322">
        <v>28</v>
      </c>
      <c r="N19" s="322">
        <v>47</v>
      </c>
      <c r="O19" s="322">
        <v>75</v>
      </c>
      <c r="P19" s="323">
        <v>104</v>
      </c>
      <c r="Q19" s="358" t="str">
        <f>IF(Overview!$D$16="Townhouse, Duplex, Triplex, Fourplex",'Unit Summary - Rent Roll'!$Z14,"N")</f>
        <v>N</v>
      </c>
      <c r="R19" s="322">
        <v>25</v>
      </c>
      <c r="S19" s="322">
        <v>28</v>
      </c>
      <c r="T19" s="322">
        <v>47</v>
      </c>
      <c r="U19" s="322">
        <v>75</v>
      </c>
      <c r="V19" s="323">
        <v>104</v>
      </c>
      <c r="W19" s="358" t="str">
        <f>IF(Overview!$D$16="Single Family Detached, Manufactured Home",'Unit Summary - Rent Roll'!$Z14,"N")</f>
        <v>N</v>
      </c>
      <c r="X19" s="322">
        <v>25</v>
      </c>
      <c r="Y19" s="322">
        <v>28</v>
      </c>
      <c r="Z19" s="322">
        <v>47</v>
      </c>
      <c r="AA19" s="322">
        <v>75</v>
      </c>
      <c r="AB19" s="323">
        <v>104</v>
      </c>
    </row>
    <row r="20" spans="2:28" x14ac:dyDescent="0.3">
      <c r="B20" s="443">
        <v>0.7</v>
      </c>
      <c r="C20" s="372">
        <f t="shared" si="0"/>
        <v>1236.8999999999999</v>
      </c>
      <c r="D20" s="372">
        <f t="shared" si="1"/>
        <v>1325.1</v>
      </c>
      <c r="E20" s="372">
        <f t="shared" si="1"/>
        <v>1590.3999999999999</v>
      </c>
      <c r="F20" s="372">
        <f t="shared" si="1"/>
        <v>1838.1999999999998</v>
      </c>
      <c r="G20" s="375">
        <f t="shared" si="2"/>
        <v>2051</v>
      </c>
      <c r="I20" s="15" t="s">
        <v>97</v>
      </c>
      <c r="J20" s="16"/>
      <c r="K20" s="358" t="str">
        <f>IF(Overview!$D$15="High-rise, Low-rise",'Unit Summary - Rent Roll'!$Z15,"N")</f>
        <v>N</v>
      </c>
      <c r="L20" s="322">
        <v>41</v>
      </c>
      <c r="M20" s="322">
        <v>45</v>
      </c>
      <c r="N20" s="322">
        <v>75</v>
      </c>
      <c r="O20" s="322">
        <v>121</v>
      </c>
      <c r="P20" s="323">
        <v>166</v>
      </c>
      <c r="Q20" s="358" t="str">
        <f>IF(Overview!$D$16="Townhouse, Duplex, Triplex, Fourplex",'Unit Summary - Rent Roll'!$Z15,"N")</f>
        <v>N</v>
      </c>
      <c r="R20" s="322">
        <v>41</v>
      </c>
      <c r="S20" s="322">
        <v>45</v>
      </c>
      <c r="T20" s="322">
        <v>75</v>
      </c>
      <c r="U20" s="322">
        <v>121</v>
      </c>
      <c r="V20" s="323">
        <v>166</v>
      </c>
      <c r="W20" s="358" t="str">
        <f>IF(Overview!$D$16="Single Family Detached, Manufactured Home",'Unit Summary - Rent Roll'!$Z15,"N")</f>
        <v>N</v>
      </c>
      <c r="X20" s="322">
        <v>41</v>
      </c>
      <c r="Y20" s="322">
        <v>45</v>
      </c>
      <c r="Z20" s="322">
        <v>75</v>
      </c>
      <c r="AA20" s="322">
        <v>121</v>
      </c>
      <c r="AB20" s="323">
        <v>166</v>
      </c>
    </row>
    <row r="21" spans="2:28" x14ac:dyDescent="0.3">
      <c r="B21" s="443">
        <v>0.75</v>
      </c>
      <c r="C21" s="372">
        <f t="shared" si="0"/>
        <v>1325.25</v>
      </c>
      <c r="D21" s="372">
        <f t="shared" si="1"/>
        <v>1419.75</v>
      </c>
      <c r="E21" s="372">
        <f t="shared" si="1"/>
        <v>1704</v>
      </c>
      <c r="F21" s="372">
        <f t="shared" si="1"/>
        <v>1969.5</v>
      </c>
      <c r="G21" s="375">
        <f t="shared" si="2"/>
        <v>2197.5</v>
      </c>
      <c r="I21" s="15" t="s">
        <v>98</v>
      </c>
      <c r="J21" s="16"/>
      <c r="K21" s="358" t="str">
        <f>IF(Overview!$D$15="High-rise, Low-rise",'Unit Summary - Rent Roll'!$Z16,"N")</f>
        <v>N</v>
      </c>
      <c r="L21" s="322">
        <v>19</v>
      </c>
      <c r="M21" s="322">
        <v>19</v>
      </c>
      <c r="N21" s="322">
        <v>19</v>
      </c>
      <c r="O21" s="322">
        <v>19</v>
      </c>
      <c r="P21" s="323">
        <v>19</v>
      </c>
      <c r="Q21" s="358" t="str">
        <f>IF(Overview!$D$16="Townhouse, Duplex, Triplex, Fourplex",'Unit Summary - Rent Roll'!$Z16,"N")</f>
        <v>N</v>
      </c>
      <c r="R21" s="322">
        <v>19</v>
      </c>
      <c r="S21" s="322">
        <v>19</v>
      </c>
      <c r="T21" s="322">
        <v>19</v>
      </c>
      <c r="U21" s="322">
        <v>19</v>
      </c>
      <c r="V21" s="323">
        <v>19</v>
      </c>
      <c r="W21" s="358" t="str">
        <f>IF(Overview!$D$16="Single Family Detached, Manufactured Home",'Unit Summary - Rent Roll'!$Z16,"N")</f>
        <v>N</v>
      </c>
      <c r="X21" s="322">
        <v>19</v>
      </c>
      <c r="Y21" s="322">
        <v>19</v>
      </c>
      <c r="Z21" s="322">
        <v>19</v>
      </c>
      <c r="AA21" s="322">
        <v>19</v>
      </c>
      <c r="AB21" s="323">
        <v>19</v>
      </c>
    </row>
    <row r="22" spans="2:28" x14ac:dyDescent="0.3">
      <c r="B22" s="443">
        <v>0.8</v>
      </c>
      <c r="C22" s="372">
        <f t="shared" si="0"/>
        <v>1413.6000000000001</v>
      </c>
      <c r="D22" s="372">
        <f t="shared" si="1"/>
        <v>1514.4</v>
      </c>
      <c r="E22" s="372">
        <f t="shared" si="1"/>
        <v>1817.6000000000001</v>
      </c>
      <c r="F22" s="372">
        <f t="shared" si="1"/>
        <v>2100.8000000000002</v>
      </c>
      <c r="G22" s="375">
        <f t="shared" si="2"/>
        <v>2344</v>
      </c>
      <c r="I22" s="15" t="s">
        <v>99</v>
      </c>
      <c r="J22" s="16"/>
      <c r="K22" s="358" t="str">
        <f>IF(Overview!$D$15="High-rise, Low-rise",'Unit Summary - Rent Roll'!$Z17,"N")</f>
        <v>N</v>
      </c>
      <c r="L22" s="322">
        <v>15</v>
      </c>
      <c r="M22" s="322">
        <v>15</v>
      </c>
      <c r="N22" s="322">
        <v>15</v>
      </c>
      <c r="O22" s="322">
        <v>15</v>
      </c>
      <c r="P22" s="323">
        <v>15</v>
      </c>
      <c r="Q22" s="358" t="str">
        <f>IF(Overview!$D$16="Townhouse, Duplex, Triplex, Fourplex",'Unit Summary - Rent Roll'!$Z17,"N")</f>
        <v>N</v>
      </c>
      <c r="R22" s="322">
        <v>15</v>
      </c>
      <c r="S22" s="322">
        <v>15</v>
      </c>
      <c r="T22" s="322">
        <v>15</v>
      </c>
      <c r="U22" s="322">
        <v>15</v>
      </c>
      <c r="V22" s="323">
        <v>15</v>
      </c>
      <c r="W22" s="358" t="str">
        <f>IF(Overview!$D$16="Single Family Detached, Manufactured Home",'Unit Summary - Rent Roll'!$Z17,"N")</f>
        <v>N</v>
      </c>
      <c r="X22" s="322">
        <v>15</v>
      </c>
      <c r="Y22" s="322">
        <v>15</v>
      </c>
      <c r="Z22" s="322">
        <v>15</v>
      </c>
      <c r="AA22" s="322">
        <v>15</v>
      </c>
      <c r="AB22" s="323">
        <v>15</v>
      </c>
    </row>
    <row r="23" spans="2:28" x14ac:dyDescent="0.3">
      <c r="B23" s="377">
        <v>0.85</v>
      </c>
      <c r="C23" s="373">
        <f t="shared" si="0"/>
        <v>1501.95</v>
      </c>
      <c r="D23" s="373">
        <f t="shared" si="1"/>
        <v>1609.05</v>
      </c>
      <c r="E23" s="373">
        <f t="shared" si="1"/>
        <v>1931.2</v>
      </c>
      <c r="F23" s="373">
        <f t="shared" si="1"/>
        <v>2232.1</v>
      </c>
      <c r="G23" s="376">
        <f t="shared" si="2"/>
        <v>2490.5</v>
      </c>
      <c r="I23" s="15" t="s">
        <v>101</v>
      </c>
      <c r="J23" s="16"/>
      <c r="K23" s="358" t="str">
        <f>IF(Overview!$D$15="High-rise, Low-rise",'Unit Summary - Rent Roll'!$Z18,"N")</f>
        <v>N</v>
      </c>
      <c r="L23" s="322">
        <v>11</v>
      </c>
      <c r="M23" s="322">
        <v>11</v>
      </c>
      <c r="N23" s="322">
        <v>11</v>
      </c>
      <c r="O23" s="322">
        <v>11</v>
      </c>
      <c r="P23" s="323">
        <v>11</v>
      </c>
      <c r="Q23" s="358" t="str">
        <f>IF(Overview!$D$16="Townhouse, Duplex, Triplex, Fourplex",'Unit Summary - Rent Roll'!$Z18,"N")</f>
        <v>N</v>
      </c>
      <c r="R23" s="322">
        <v>11</v>
      </c>
      <c r="S23" s="322">
        <v>11</v>
      </c>
      <c r="T23" s="322">
        <v>11</v>
      </c>
      <c r="U23" s="322">
        <v>11</v>
      </c>
      <c r="V23" s="323">
        <v>11</v>
      </c>
      <c r="W23" s="358" t="str">
        <f>IF(Overview!$D$16="Single Family Detached, Manufactured Home",'Unit Summary - Rent Roll'!$Z18,"N")</f>
        <v>N</v>
      </c>
      <c r="X23" s="322">
        <v>11</v>
      </c>
      <c r="Y23" s="322">
        <v>11</v>
      </c>
      <c r="Z23" s="322">
        <v>11</v>
      </c>
      <c r="AA23" s="322">
        <v>11</v>
      </c>
      <c r="AB23" s="323">
        <v>11</v>
      </c>
    </row>
    <row r="24" spans="2:28" x14ac:dyDescent="0.3">
      <c r="B24" s="377">
        <v>0.9</v>
      </c>
      <c r="C24" s="373">
        <f t="shared" si="0"/>
        <v>1590.3</v>
      </c>
      <c r="D24" s="373">
        <f t="shared" si="1"/>
        <v>1703.7</v>
      </c>
      <c r="E24" s="373">
        <f t="shared" si="1"/>
        <v>2044.8</v>
      </c>
      <c r="F24" s="373">
        <f t="shared" si="1"/>
        <v>2363.4</v>
      </c>
      <c r="G24" s="376">
        <f t="shared" si="2"/>
        <v>2637</v>
      </c>
      <c r="I24" s="17"/>
      <c r="J24" s="18"/>
      <c r="K24" s="19"/>
      <c r="L24" s="74"/>
      <c r="M24" s="20"/>
      <c r="N24" s="20"/>
      <c r="O24" s="20"/>
      <c r="P24" s="21"/>
      <c r="Q24" s="19"/>
      <c r="R24" s="74"/>
      <c r="S24" s="20"/>
      <c r="T24" s="20"/>
      <c r="U24" s="20"/>
      <c r="V24" s="21"/>
      <c r="W24" s="19"/>
      <c r="X24" s="74"/>
      <c r="Y24" s="20"/>
      <c r="Z24" s="20"/>
      <c r="AA24" s="20"/>
      <c r="AB24" s="21"/>
    </row>
    <row r="25" spans="2:28" x14ac:dyDescent="0.3">
      <c r="B25" s="377">
        <v>0.95</v>
      </c>
      <c r="C25" s="373">
        <f t="shared" si="0"/>
        <v>1678.6499999999999</v>
      </c>
      <c r="D25" s="373">
        <f t="shared" si="1"/>
        <v>1798.35</v>
      </c>
      <c r="E25" s="373">
        <f t="shared" si="1"/>
        <v>2158.4</v>
      </c>
      <c r="F25" s="373">
        <f t="shared" si="1"/>
        <v>2494.6999999999998</v>
      </c>
      <c r="G25" s="376">
        <f t="shared" si="2"/>
        <v>2783.5</v>
      </c>
    </row>
    <row r="26" spans="2:28" x14ac:dyDescent="0.3">
      <c r="B26" s="377">
        <v>1</v>
      </c>
      <c r="C26" s="447">
        <v>1767</v>
      </c>
      <c r="D26" s="447">
        <v>1893</v>
      </c>
      <c r="E26" s="447">
        <v>2272</v>
      </c>
      <c r="F26" s="447">
        <v>2626</v>
      </c>
      <c r="G26" s="445">
        <v>2930</v>
      </c>
    </row>
    <row r="27" spans="2:28" x14ac:dyDescent="0.3">
      <c r="B27" s="377">
        <v>1.05</v>
      </c>
      <c r="C27" s="373">
        <f t="shared" si="0"/>
        <v>1855.3500000000001</v>
      </c>
      <c r="D27" s="373">
        <f t="shared" si="1"/>
        <v>1987.65</v>
      </c>
      <c r="E27" s="373">
        <f t="shared" si="1"/>
        <v>2385.6</v>
      </c>
      <c r="F27" s="373">
        <f t="shared" si="1"/>
        <v>2757.3</v>
      </c>
      <c r="G27" s="376">
        <f t="shared" si="2"/>
        <v>3076.5</v>
      </c>
    </row>
    <row r="28" spans="2:28" x14ac:dyDescent="0.3">
      <c r="B28" s="377">
        <v>1.1000000000000001</v>
      </c>
      <c r="C28" s="373">
        <f t="shared" si="0"/>
        <v>1943.7</v>
      </c>
      <c r="D28" s="373">
        <f t="shared" si="1"/>
        <v>2082.3000000000002</v>
      </c>
      <c r="E28" s="373">
        <f t="shared" si="1"/>
        <v>2499.2000000000003</v>
      </c>
      <c r="F28" s="373">
        <f t="shared" si="1"/>
        <v>2888.6000000000004</v>
      </c>
      <c r="G28" s="376">
        <f t="shared" si="2"/>
        <v>3223.0000000000005</v>
      </c>
    </row>
    <row r="29" spans="2:28" x14ac:dyDescent="0.3">
      <c r="B29" s="377">
        <v>1.1499999999999999</v>
      </c>
      <c r="C29" s="373">
        <f t="shared" si="0"/>
        <v>2032.05</v>
      </c>
      <c r="D29" s="373">
        <f t="shared" si="1"/>
        <v>2176.9499999999998</v>
      </c>
      <c r="E29" s="373">
        <f t="shared" si="1"/>
        <v>2612.7999999999997</v>
      </c>
      <c r="F29" s="373">
        <f t="shared" si="1"/>
        <v>3019.8999999999996</v>
      </c>
      <c r="G29" s="376">
        <f t="shared" si="2"/>
        <v>3369.4999999999995</v>
      </c>
    </row>
    <row r="30" spans="2:28" x14ac:dyDescent="0.3">
      <c r="B30" s="377">
        <v>1.2</v>
      </c>
      <c r="C30" s="373">
        <f t="shared" si="0"/>
        <v>2120.4</v>
      </c>
      <c r="D30" s="373">
        <f t="shared" si="1"/>
        <v>2271.6</v>
      </c>
      <c r="E30" s="373">
        <f t="shared" si="1"/>
        <v>2726.4</v>
      </c>
      <c r="F30" s="373">
        <f t="shared" si="1"/>
        <v>3151.2</v>
      </c>
      <c r="G30" s="376">
        <f t="shared" si="2"/>
        <v>3516</v>
      </c>
    </row>
    <row r="31" spans="2:28" x14ac:dyDescent="0.3">
      <c r="B31" s="446" t="s">
        <v>423</v>
      </c>
      <c r="C31" s="447">
        <v>991</v>
      </c>
      <c r="D31" s="447">
        <v>1090</v>
      </c>
      <c r="E31" s="447">
        <v>1378</v>
      </c>
      <c r="F31" s="447">
        <v>1688</v>
      </c>
      <c r="G31" s="448">
        <v>1827</v>
      </c>
    </row>
    <row r="32" spans="2:28" x14ac:dyDescent="0.3">
      <c r="B32" s="377" t="s">
        <v>424</v>
      </c>
      <c r="C32" s="373">
        <f>SUM(SUMIFS(L$10:L$24,$K$10:$K$24,"Y"),SUMIFS(R$10:R$24,$Q$10:$Q$24,"Y"),SUMIFS(X$10:X$24,$W$10:$W$24,"Y"))</f>
        <v>0</v>
      </c>
      <c r="D32" s="373">
        <f>SUM(SUMIFS(M$10:M$24,$K$10:$K$24,"Y"),SUMIFS(S$10:S$24,$Q$10:$Q$24,"Y"),SUMIFS(Y$10:Y$24,$W$10:$W$24,"Y"))</f>
        <v>0</v>
      </c>
      <c r="E32" s="373">
        <f>SUM(SUMIFS(N$10:N$24,$K$10:$K$24,"Y"),SUMIFS(T$10:T$24,$Q$10:$Q$24,"Y"),SUMIFS(Z$10:Z$24,$W$10:$W$24,"Y"))</f>
        <v>0</v>
      </c>
      <c r="F32" s="373">
        <f>SUM(SUMIFS(O$10:O$24,$K$10:$K$24,"Y"),SUMIFS(U$10:U$24,$Q$10:$Q$24,"Y"),SUMIFS(AA$10:AA$24,$W$10:$W$24,"Y"))</f>
        <v>0</v>
      </c>
      <c r="G32" s="376">
        <f>SUM(SUMIFS(P$10:P$24,$K$10:$K$24,"Y"),SUMIFS(V$10:V$24,$Q$10:$Q$24,"Y"),SUMIFS(AB$10:AB$24,$W$10:$W$24,"Y"))</f>
        <v>0</v>
      </c>
    </row>
    <row r="33" spans="2:26" x14ac:dyDescent="0.3">
      <c r="B33" s="17"/>
      <c r="C33" s="20"/>
      <c r="D33" s="20"/>
      <c r="E33" s="20"/>
      <c r="F33" s="20"/>
      <c r="G33" s="18"/>
    </row>
    <row r="36" spans="2:26" x14ac:dyDescent="0.3">
      <c r="B36" s="6" t="s">
        <v>425</v>
      </c>
      <c r="C36" s="7"/>
      <c r="D36" s="7"/>
      <c r="E36" s="7"/>
      <c r="F36" s="7"/>
      <c r="G36" s="7"/>
      <c r="H36" s="7"/>
      <c r="I36" s="7"/>
      <c r="J36" s="8"/>
      <c r="L36" s="6" t="s">
        <v>8</v>
      </c>
      <c r="M36" s="9"/>
      <c r="N36" s="9"/>
      <c r="O36" s="9"/>
      <c r="P36" s="77"/>
      <c r="R36" s="6" t="s">
        <v>426</v>
      </c>
      <c r="S36" s="9"/>
      <c r="T36" s="9"/>
      <c r="U36" s="9"/>
      <c r="V36" s="9"/>
      <c r="W36" s="9"/>
      <c r="X36" s="9"/>
      <c r="Y36" s="9"/>
      <c r="Z36" s="77"/>
    </row>
    <row r="37" spans="2:26" ht="13.95" customHeight="1" x14ac:dyDescent="0.3">
      <c r="B37" s="307" t="s">
        <v>29</v>
      </c>
      <c r="C37" s="10" t="s">
        <v>142</v>
      </c>
      <c r="D37" s="10" t="s">
        <v>384</v>
      </c>
      <c r="E37" s="10" t="s">
        <v>394</v>
      </c>
      <c r="F37" s="10" t="s">
        <v>403</v>
      </c>
      <c r="G37" s="10" t="s">
        <v>406</v>
      </c>
      <c r="H37" s="10" t="s">
        <v>407</v>
      </c>
      <c r="I37" s="10" t="s">
        <v>408</v>
      </c>
      <c r="J37" s="10" t="s">
        <v>409</v>
      </c>
      <c r="L37" s="553" t="s">
        <v>10</v>
      </c>
      <c r="M37" s="553" t="s">
        <v>427</v>
      </c>
      <c r="N37" s="553" t="s">
        <v>428</v>
      </c>
      <c r="O37" s="553" t="s">
        <v>429</v>
      </c>
      <c r="P37" s="553" t="s">
        <v>430</v>
      </c>
      <c r="R37" s="647" t="s">
        <v>431</v>
      </c>
      <c r="S37" s="648"/>
      <c r="T37" s="649"/>
      <c r="U37" s="656" t="s">
        <v>432</v>
      </c>
      <c r="V37" s="647" t="s">
        <v>433</v>
      </c>
      <c r="W37" s="648"/>
      <c r="X37" s="648"/>
      <c r="Y37" s="648"/>
      <c r="Z37" s="649"/>
    </row>
    <row r="38" spans="2:26" x14ac:dyDescent="0.3">
      <c r="B38" s="442">
        <v>1.5</v>
      </c>
      <c r="C38" s="286">
        <f t="shared" ref="C38:J38" si="3">ROUND(C$43*$B38,0)</f>
        <v>106050</v>
      </c>
      <c r="D38" s="286">
        <f t="shared" si="3"/>
        <v>121200</v>
      </c>
      <c r="E38" s="286">
        <f t="shared" si="3"/>
        <v>136350</v>
      </c>
      <c r="F38" s="286">
        <f t="shared" si="3"/>
        <v>151500</v>
      </c>
      <c r="G38" s="286">
        <f t="shared" si="3"/>
        <v>163650</v>
      </c>
      <c r="H38" s="286">
        <f t="shared" si="3"/>
        <v>175800</v>
      </c>
      <c r="I38" s="286">
        <f t="shared" si="3"/>
        <v>187950</v>
      </c>
      <c r="J38" s="374">
        <f t="shared" si="3"/>
        <v>200100</v>
      </c>
      <c r="L38" s="554"/>
      <c r="M38" s="554"/>
      <c r="N38" s="554"/>
      <c r="O38" s="554"/>
      <c r="P38" s="554"/>
      <c r="R38" s="650"/>
      <c r="S38" s="651"/>
      <c r="T38" s="652"/>
      <c r="U38" s="657"/>
      <c r="V38" s="650"/>
      <c r="W38" s="651"/>
      <c r="X38" s="651"/>
      <c r="Y38" s="651"/>
      <c r="Z38" s="652"/>
    </row>
    <row r="39" spans="2:26" x14ac:dyDescent="0.3">
      <c r="B39" s="443">
        <v>1.4</v>
      </c>
      <c r="C39" s="372">
        <f t="shared" ref="C39:J54" si="4">ROUND(C$43*$B39,0)</f>
        <v>98980</v>
      </c>
      <c r="D39" s="372">
        <f t="shared" si="4"/>
        <v>113120</v>
      </c>
      <c r="E39" s="372">
        <f t="shared" si="4"/>
        <v>127260</v>
      </c>
      <c r="F39" s="372">
        <f t="shared" si="4"/>
        <v>141400</v>
      </c>
      <c r="G39" s="372">
        <f t="shared" si="4"/>
        <v>152740</v>
      </c>
      <c r="H39" s="372">
        <f t="shared" si="4"/>
        <v>164080</v>
      </c>
      <c r="I39" s="372">
        <f t="shared" si="4"/>
        <v>175420</v>
      </c>
      <c r="J39" s="375">
        <f t="shared" si="4"/>
        <v>186760</v>
      </c>
      <c r="L39" s="554"/>
      <c r="M39" s="555"/>
      <c r="N39" s="555"/>
      <c r="O39" s="555"/>
      <c r="P39" s="555"/>
      <c r="R39" s="650"/>
      <c r="S39" s="651"/>
      <c r="T39" s="652"/>
      <c r="U39" s="657"/>
      <c r="V39" s="653"/>
      <c r="W39" s="654"/>
      <c r="X39" s="654"/>
      <c r="Y39" s="654"/>
      <c r="Z39" s="655"/>
    </row>
    <row r="40" spans="2:26" x14ac:dyDescent="0.3">
      <c r="B40" s="443">
        <v>1.25</v>
      </c>
      <c r="C40" s="372">
        <f t="shared" si="4"/>
        <v>88375</v>
      </c>
      <c r="D40" s="372">
        <f t="shared" si="4"/>
        <v>101000</v>
      </c>
      <c r="E40" s="372">
        <f t="shared" si="4"/>
        <v>113625</v>
      </c>
      <c r="F40" s="372">
        <f t="shared" si="4"/>
        <v>126250</v>
      </c>
      <c r="G40" s="372">
        <f t="shared" si="4"/>
        <v>136375</v>
      </c>
      <c r="H40" s="372">
        <f t="shared" si="4"/>
        <v>146500</v>
      </c>
      <c r="I40" s="372">
        <f t="shared" si="4"/>
        <v>156625</v>
      </c>
      <c r="J40" s="375">
        <f t="shared" si="4"/>
        <v>166750</v>
      </c>
      <c r="L40" s="555"/>
      <c r="M40" s="541" t="s">
        <v>404</v>
      </c>
      <c r="N40" s="541" t="s">
        <v>376</v>
      </c>
      <c r="O40" s="541" t="s">
        <v>388</v>
      </c>
      <c r="P40" s="541" t="s">
        <v>400</v>
      </c>
      <c r="R40" s="653"/>
      <c r="S40" s="654"/>
      <c r="T40" s="655"/>
      <c r="U40" s="658"/>
      <c r="V40" s="307" t="s">
        <v>369</v>
      </c>
      <c r="W40" s="307" t="s">
        <v>378</v>
      </c>
      <c r="X40" s="307" t="s">
        <v>389</v>
      </c>
      <c r="Y40" s="307" t="s">
        <v>401</v>
      </c>
      <c r="Z40" s="307" t="s">
        <v>405</v>
      </c>
    </row>
    <row r="41" spans="2:26" x14ac:dyDescent="0.3">
      <c r="B41" s="443">
        <v>1.2</v>
      </c>
      <c r="C41" s="372">
        <f t="shared" si="4"/>
        <v>84840</v>
      </c>
      <c r="D41" s="372">
        <f t="shared" si="4"/>
        <v>96960</v>
      </c>
      <c r="E41" s="372">
        <f t="shared" si="4"/>
        <v>109080</v>
      </c>
      <c r="F41" s="372">
        <f t="shared" si="4"/>
        <v>121200</v>
      </c>
      <c r="G41" s="372">
        <f t="shared" si="4"/>
        <v>130920</v>
      </c>
      <c r="H41" s="372">
        <f t="shared" si="4"/>
        <v>140640</v>
      </c>
      <c r="I41" s="372">
        <f t="shared" si="4"/>
        <v>150360</v>
      </c>
      <c r="J41" s="375">
        <f t="shared" si="4"/>
        <v>160080</v>
      </c>
      <c r="L41" s="442">
        <v>0.2</v>
      </c>
      <c r="M41" s="324">
        <v>5.0000000000000001E-3</v>
      </c>
      <c r="N41" s="324">
        <v>0.01</v>
      </c>
      <c r="O41" s="324">
        <v>0.01</v>
      </c>
      <c r="P41" s="291">
        <f>'Financials- SWHP'!$X$71</f>
        <v>0.08</v>
      </c>
      <c r="R41" s="170" t="s">
        <v>434</v>
      </c>
      <c r="S41" s="171"/>
      <c r="T41" s="168"/>
      <c r="U41" s="327">
        <v>17.042999999999999</v>
      </c>
      <c r="V41" s="328">
        <v>1</v>
      </c>
      <c r="W41" s="328">
        <v>0.5</v>
      </c>
      <c r="X41" s="328">
        <v>1</v>
      </c>
      <c r="Y41" s="328">
        <v>0</v>
      </c>
      <c r="Z41" s="172">
        <f t="shared" ref="Z41:Z57" ca="1" si="5">$Z$58/$U$58</f>
        <v>0.30946452992951573</v>
      </c>
    </row>
    <row r="42" spans="2:26" x14ac:dyDescent="0.3">
      <c r="B42" s="443">
        <v>1.1000000000000001</v>
      </c>
      <c r="C42" s="372">
        <f t="shared" si="4"/>
        <v>77770</v>
      </c>
      <c r="D42" s="372">
        <f t="shared" si="4"/>
        <v>88880</v>
      </c>
      <c r="E42" s="372">
        <f t="shared" si="4"/>
        <v>99990</v>
      </c>
      <c r="F42" s="372">
        <f t="shared" si="4"/>
        <v>111100</v>
      </c>
      <c r="G42" s="372">
        <f t="shared" si="4"/>
        <v>120010</v>
      </c>
      <c r="H42" s="372">
        <f t="shared" si="4"/>
        <v>128920</v>
      </c>
      <c r="I42" s="372">
        <f t="shared" si="4"/>
        <v>137830</v>
      </c>
      <c r="J42" s="375">
        <f t="shared" si="4"/>
        <v>146740</v>
      </c>
      <c r="L42" s="443">
        <v>0.3</v>
      </c>
      <c r="M42" s="325">
        <v>5.0000000000000001E-3</v>
      </c>
      <c r="N42" s="325">
        <v>0.01</v>
      </c>
      <c r="O42" s="325">
        <v>0.01</v>
      </c>
      <c r="P42" s="179">
        <f>'Financials- SWHP'!$X$71</f>
        <v>0.08</v>
      </c>
      <c r="R42" s="15" t="s">
        <v>435</v>
      </c>
      <c r="T42" s="169"/>
      <c r="U42" s="329">
        <v>6</v>
      </c>
      <c r="V42" s="330">
        <v>1</v>
      </c>
      <c r="W42" s="330">
        <v>0.5</v>
      </c>
      <c r="X42" s="330">
        <v>1</v>
      </c>
      <c r="Y42" s="330">
        <v>0</v>
      </c>
      <c r="Z42" s="173">
        <f t="shared" ca="1" si="5"/>
        <v>0.30946452992951573</v>
      </c>
    </row>
    <row r="43" spans="2:26" x14ac:dyDescent="0.3">
      <c r="B43" s="443">
        <v>1</v>
      </c>
      <c r="C43" s="450">
        <v>70700</v>
      </c>
      <c r="D43" s="450">
        <v>80800</v>
      </c>
      <c r="E43" s="450">
        <v>90900</v>
      </c>
      <c r="F43" s="450">
        <v>101000</v>
      </c>
      <c r="G43" s="450">
        <v>109100</v>
      </c>
      <c r="H43" s="450">
        <v>117200</v>
      </c>
      <c r="I43" s="450">
        <v>125300</v>
      </c>
      <c r="J43" s="451">
        <v>133400</v>
      </c>
      <c r="L43" s="443">
        <v>0.4</v>
      </c>
      <c r="M43" s="325">
        <v>5.0000000000000001E-3</v>
      </c>
      <c r="N43" s="325">
        <v>0.01</v>
      </c>
      <c r="O43" s="325">
        <v>0.01</v>
      </c>
      <c r="P43" s="179">
        <f>'Financials- SWHP'!$X$71</f>
        <v>0.08</v>
      </c>
      <c r="R43" s="15" t="s">
        <v>436</v>
      </c>
      <c r="T43" s="169"/>
      <c r="U43" s="329">
        <v>0.9829</v>
      </c>
      <c r="V43" s="330">
        <v>0</v>
      </c>
      <c r="W43" s="330">
        <v>0</v>
      </c>
      <c r="X43" s="330">
        <v>0</v>
      </c>
      <c r="Y43" s="330">
        <v>0</v>
      </c>
      <c r="Z43" s="173">
        <f t="shared" ca="1" si="5"/>
        <v>0.30946452992951573</v>
      </c>
    </row>
    <row r="44" spans="2:26" x14ac:dyDescent="0.3">
      <c r="B44" s="443">
        <v>0.9</v>
      </c>
      <c r="C44" s="372">
        <f t="shared" si="4"/>
        <v>63630</v>
      </c>
      <c r="D44" s="372">
        <f t="shared" si="4"/>
        <v>72720</v>
      </c>
      <c r="E44" s="372">
        <f t="shared" si="4"/>
        <v>81810</v>
      </c>
      <c r="F44" s="372">
        <f t="shared" si="4"/>
        <v>90900</v>
      </c>
      <c r="G44" s="372">
        <f t="shared" si="4"/>
        <v>98190</v>
      </c>
      <c r="H44" s="372">
        <f t="shared" si="4"/>
        <v>105480</v>
      </c>
      <c r="I44" s="372">
        <f t="shared" si="4"/>
        <v>112770</v>
      </c>
      <c r="J44" s="375">
        <f t="shared" si="4"/>
        <v>120060</v>
      </c>
      <c r="L44" s="443">
        <v>0.5</v>
      </c>
      <c r="M44" s="325">
        <v>5.0000000000000001E-3</v>
      </c>
      <c r="N44" s="325">
        <v>0.01</v>
      </c>
      <c r="O44" s="325">
        <v>0.01</v>
      </c>
      <c r="P44" s="179">
        <f>'Financials- SWHP'!$X$71</f>
        <v>0.08</v>
      </c>
      <c r="R44" s="15" t="s">
        <v>437</v>
      </c>
      <c r="T44" s="169"/>
      <c r="U44" s="329">
        <v>0.2442</v>
      </c>
      <c r="V44" s="330">
        <v>0</v>
      </c>
      <c r="W44" s="330">
        <v>0</v>
      </c>
      <c r="X44" s="330">
        <v>0</v>
      </c>
      <c r="Y44" s="330">
        <v>0</v>
      </c>
      <c r="Z44" s="173">
        <f t="shared" ca="1" si="5"/>
        <v>0.30946452992951573</v>
      </c>
    </row>
    <row r="45" spans="2:26" x14ac:dyDescent="0.3">
      <c r="B45" s="443">
        <v>0.8</v>
      </c>
      <c r="C45" s="372">
        <f t="shared" si="4"/>
        <v>56560</v>
      </c>
      <c r="D45" s="372">
        <f t="shared" si="4"/>
        <v>64640</v>
      </c>
      <c r="E45" s="372">
        <f t="shared" si="4"/>
        <v>72720</v>
      </c>
      <c r="F45" s="372">
        <f t="shared" si="4"/>
        <v>80800</v>
      </c>
      <c r="G45" s="372">
        <f t="shared" si="4"/>
        <v>87280</v>
      </c>
      <c r="H45" s="372">
        <f t="shared" si="4"/>
        <v>93760</v>
      </c>
      <c r="I45" s="372">
        <f t="shared" si="4"/>
        <v>100240</v>
      </c>
      <c r="J45" s="375">
        <f t="shared" si="4"/>
        <v>106720</v>
      </c>
      <c r="L45" s="443">
        <v>0.6</v>
      </c>
      <c r="M45" s="325">
        <v>5.0000000000000001E-3</v>
      </c>
      <c r="N45" s="325">
        <v>0.01</v>
      </c>
      <c r="O45" s="325">
        <v>0.01</v>
      </c>
      <c r="P45" s="179">
        <f>'Financials- SWHP'!$X$71</f>
        <v>0.08</v>
      </c>
      <c r="R45" s="15" t="s">
        <v>438</v>
      </c>
      <c r="T45" s="169"/>
      <c r="U45" s="329">
        <v>0.93579999999999997</v>
      </c>
      <c r="V45" s="330">
        <v>0</v>
      </c>
      <c r="W45" s="330">
        <v>0</v>
      </c>
      <c r="X45" s="330">
        <v>0</v>
      </c>
      <c r="Y45" s="330">
        <v>0</v>
      </c>
      <c r="Z45" s="173">
        <f t="shared" ca="1" si="5"/>
        <v>0.30946452992951573</v>
      </c>
    </row>
    <row r="46" spans="2:26" x14ac:dyDescent="0.3">
      <c r="B46" s="443">
        <v>0.7</v>
      </c>
      <c r="C46" s="372">
        <f t="shared" si="4"/>
        <v>49490</v>
      </c>
      <c r="D46" s="372">
        <f t="shared" si="4"/>
        <v>56560</v>
      </c>
      <c r="E46" s="372">
        <f t="shared" si="4"/>
        <v>63630</v>
      </c>
      <c r="F46" s="372">
        <f t="shared" si="4"/>
        <v>70700</v>
      </c>
      <c r="G46" s="372">
        <f t="shared" si="4"/>
        <v>76370</v>
      </c>
      <c r="H46" s="372">
        <f t="shared" si="4"/>
        <v>82040</v>
      </c>
      <c r="I46" s="372">
        <f t="shared" si="4"/>
        <v>87710</v>
      </c>
      <c r="J46" s="375">
        <f t="shared" si="4"/>
        <v>93380</v>
      </c>
      <c r="L46" s="443">
        <v>0.7</v>
      </c>
      <c r="M46" s="325">
        <v>0.02</v>
      </c>
      <c r="N46" s="325">
        <v>0.04</v>
      </c>
      <c r="O46" s="325">
        <v>0.04</v>
      </c>
      <c r="P46" s="179">
        <f>'Financials- SWHP'!$X$71</f>
        <v>0.08</v>
      </c>
      <c r="R46" s="15" t="s">
        <v>439</v>
      </c>
      <c r="T46" s="169"/>
      <c r="U46" s="329">
        <v>9.5600000000000004E-2</v>
      </c>
      <c r="V46" s="330">
        <v>0</v>
      </c>
      <c r="W46" s="330">
        <v>0</v>
      </c>
      <c r="X46" s="330">
        <v>0</v>
      </c>
      <c r="Y46" s="330">
        <v>0</v>
      </c>
      <c r="Z46" s="173">
        <f t="shared" ca="1" si="5"/>
        <v>0.30946452992951573</v>
      </c>
    </row>
    <row r="47" spans="2:26" x14ac:dyDescent="0.3">
      <c r="B47" s="443">
        <v>0.6</v>
      </c>
      <c r="C47" s="372">
        <f t="shared" si="4"/>
        <v>42420</v>
      </c>
      <c r="D47" s="372">
        <f t="shared" si="4"/>
        <v>48480</v>
      </c>
      <c r="E47" s="372">
        <f t="shared" si="4"/>
        <v>54540</v>
      </c>
      <c r="F47" s="372">
        <f t="shared" si="4"/>
        <v>60600</v>
      </c>
      <c r="G47" s="372">
        <f t="shared" si="4"/>
        <v>65460</v>
      </c>
      <c r="H47" s="372">
        <f t="shared" si="4"/>
        <v>70320</v>
      </c>
      <c r="I47" s="372">
        <f t="shared" si="4"/>
        <v>75180</v>
      </c>
      <c r="J47" s="375">
        <f t="shared" si="4"/>
        <v>80040</v>
      </c>
      <c r="L47" s="443">
        <v>0.8</v>
      </c>
      <c r="M47" s="325">
        <v>0.02</v>
      </c>
      <c r="N47" s="325">
        <v>0.04</v>
      </c>
      <c r="O47" s="325">
        <v>0.04</v>
      </c>
      <c r="P47" s="179">
        <f>'Financials- SWHP'!$X$71</f>
        <v>0.08</v>
      </c>
      <c r="R47" s="15" t="s">
        <v>440</v>
      </c>
      <c r="T47" s="169"/>
      <c r="U47" s="329">
        <v>3.3443000000000001</v>
      </c>
      <c r="V47" s="330">
        <v>0</v>
      </c>
      <c r="W47" s="330">
        <v>0</v>
      </c>
      <c r="X47" s="330">
        <v>0</v>
      </c>
      <c r="Y47" s="330">
        <v>0</v>
      </c>
      <c r="Z47" s="173">
        <f t="shared" ca="1" si="5"/>
        <v>0.30946452992951573</v>
      </c>
    </row>
    <row r="48" spans="2:26" x14ac:dyDescent="0.3">
      <c r="B48" s="443">
        <v>0.55000000000000004</v>
      </c>
      <c r="C48" s="372">
        <f t="shared" si="4"/>
        <v>38885</v>
      </c>
      <c r="D48" s="372">
        <f t="shared" si="4"/>
        <v>44440</v>
      </c>
      <c r="E48" s="372">
        <f t="shared" si="4"/>
        <v>49995</v>
      </c>
      <c r="F48" s="372">
        <f t="shared" si="4"/>
        <v>55550</v>
      </c>
      <c r="G48" s="372">
        <f t="shared" si="4"/>
        <v>60005</v>
      </c>
      <c r="H48" s="372">
        <f t="shared" si="4"/>
        <v>64460</v>
      </c>
      <c r="I48" s="372">
        <f t="shared" si="4"/>
        <v>68915</v>
      </c>
      <c r="J48" s="375">
        <f t="shared" si="4"/>
        <v>73370</v>
      </c>
      <c r="L48" s="443">
        <v>0.9</v>
      </c>
      <c r="M48" s="325">
        <v>3.5000000000000003E-2</v>
      </c>
      <c r="N48" s="326" t="s">
        <v>139</v>
      </c>
      <c r="O48" s="326" t="s">
        <v>139</v>
      </c>
      <c r="P48" s="179">
        <f>'Financials- SWHP'!$X$71</f>
        <v>0.08</v>
      </c>
      <c r="R48" s="15" t="s">
        <v>441</v>
      </c>
      <c r="T48" s="169"/>
      <c r="U48" s="329">
        <v>1.9876</v>
      </c>
      <c r="V48" s="330">
        <v>0</v>
      </c>
      <c r="W48" s="330">
        <v>0</v>
      </c>
      <c r="X48" s="330">
        <v>0</v>
      </c>
      <c r="Y48" s="330">
        <v>0</v>
      </c>
      <c r="Z48" s="173">
        <f t="shared" ca="1" si="5"/>
        <v>0.30946452992951573</v>
      </c>
    </row>
    <row r="49" spans="2:26" x14ac:dyDescent="0.3">
      <c r="B49" s="443">
        <v>0.5</v>
      </c>
      <c r="C49" s="372">
        <f t="shared" si="4"/>
        <v>35350</v>
      </c>
      <c r="D49" s="372">
        <f t="shared" si="4"/>
        <v>40400</v>
      </c>
      <c r="E49" s="372">
        <f t="shared" si="4"/>
        <v>45450</v>
      </c>
      <c r="F49" s="372">
        <f t="shared" si="4"/>
        <v>50500</v>
      </c>
      <c r="G49" s="372">
        <f t="shared" si="4"/>
        <v>54550</v>
      </c>
      <c r="H49" s="372">
        <f t="shared" si="4"/>
        <v>58600</v>
      </c>
      <c r="I49" s="372">
        <f t="shared" si="4"/>
        <v>62650</v>
      </c>
      <c r="J49" s="375">
        <f t="shared" si="4"/>
        <v>66700</v>
      </c>
      <c r="L49" s="443">
        <v>1</v>
      </c>
      <c r="M49" s="325">
        <v>3.5000000000000003E-2</v>
      </c>
      <c r="N49" s="326" t="s">
        <v>139</v>
      </c>
      <c r="O49" s="326" t="s">
        <v>139</v>
      </c>
      <c r="P49" s="179">
        <f>'Financials- SWHP'!$X$71</f>
        <v>0.08</v>
      </c>
      <c r="R49" s="15" t="s">
        <v>442</v>
      </c>
      <c r="T49" s="169"/>
      <c r="U49" s="329">
        <v>19.952000000000002</v>
      </c>
      <c r="V49" s="330">
        <v>0</v>
      </c>
      <c r="W49" s="330">
        <v>0</v>
      </c>
      <c r="X49" s="330">
        <v>0</v>
      </c>
      <c r="Y49" s="330">
        <v>0</v>
      </c>
      <c r="Z49" s="173">
        <f t="shared" ca="1" si="5"/>
        <v>0.30946452992951573</v>
      </c>
    </row>
    <row r="50" spans="2:26" x14ac:dyDescent="0.3">
      <c r="B50" s="443">
        <v>0.45</v>
      </c>
      <c r="C50" s="372">
        <f t="shared" si="4"/>
        <v>31815</v>
      </c>
      <c r="D50" s="372">
        <f t="shared" si="4"/>
        <v>36360</v>
      </c>
      <c r="E50" s="372">
        <f t="shared" si="4"/>
        <v>40905</v>
      </c>
      <c r="F50" s="372">
        <f t="shared" si="4"/>
        <v>45450</v>
      </c>
      <c r="G50" s="372">
        <f t="shared" si="4"/>
        <v>49095</v>
      </c>
      <c r="H50" s="372">
        <f t="shared" si="4"/>
        <v>52740</v>
      </c>
      <c r="I50" s="372">
        <f t="shared" si="4"/>
        <v>56385</v>
      </c>
      <c r="J50" s="375">
        <f t="shared" si="4"/>
        <v>60030</v>
      </c>
      <c r="L50" s="443">
        <v>1.1000000000000001</v>
      </c>
      <c r="M50" s="325">
        <v>3.5000000000000003E-2</v>
      </c>
      <c r="N50" s="326" t="s">
        <v>139</v>
      </c>
      <c r="O50" s="326" t="s">
        <v>139</v>
      </c>
      <c r="P50" s="179">
        <f>'Financials- SWHP'!$X$71</f>
        <v>0.08</v>
      </c>
      <c r="R50" s="15" t="s">
        <v>443</v>
      </c>
      <c r="T50" s="169"/>
      <c r="U50" s="329">
        <v>4.6307</v>
      </c>
      <c r="V50" s="330">
        <v>0</v>
      </c>
      <c r="W50" s="330">
        <v>0</v>
      </c>
      <c r="X50" s="330">
        <v>0</v>
      </c>
      <c r="Y50" s="330">
        <v>0</v>
      </c>
      <c r="Z50" s="173">
        <f t="shared" ca="1" si="5"/>
        <v>0.30946452992951573</v>
      </c>
    </row>
    <row r="51" spans="2:26" x14ac:dyDescent="0.3">
      <c r="B51" s="443">
        <v>0.4</v>
      </c>
      <c r="C51" s="372">
        <f t="shared" si="4"/>
        <v>28280</v>
      </c>
      <c r="D51" s="372">
        <f t="shared" si="4"/>
        <v>32320</v>
      </c>
      <c r="E51" s="372">
        <f t="shared" si="4"/>
        <v>36360</v>
      </c>
      <c r="F51" s="372">
        <f t="shared" si="4"/>
        <v>40400</v>
      </c>
      <c r="G51" s="372">
        <f t="shared" si="4"/>
        <v>43640</v>
      </c>
      <c r="H51" s="372">
        <f t="shared" si="4"/>
        <v>46880</v>
      </c>
      <c r="I51" s="372">
        <f t="shared" si="4"/>
        <v>50120</v>
      </c>
      <c r="J51" s="375">
        <f t="shared" si="4"/>
        <v>53360</v>
      </c>
      <c r="L51" s="443">
        <v>1.2</v>
      </c>
      <c r="M51" s="325">
        <v>3.5000000000000003E-2</v>
      </c>
      <c r="N51" s="326" t="s">
        <v>139</v>
      </c>
      <c r="O51" s="326" t="s">
        <v>139</v>
      </c>
      <c r="P51" s="179">
        <f>'Financials- SWHP'!$X$71</f>
        <v>0.08</v>
      </c>
      <c r="R51" s="15" t="s">
        <v>444</v>
      </c>
      <c r="T51" s="169"/>
      <c r="U51" s="329">
        <v>5.6098999999999997</v>
      </c>
      <c r="V51" s="330">
        <v>0</v>
      </c>
      <c r="W51" s="330">
        <v>0</v>
      </c>
      <c r="X51" s="330">
        <v>0</v>
      </c>
      <c r="Y51" s="330">
        <v>0</v>
      </c>
      <c r="Z51" s="173">
        <f t="shared" ca="1" si="5"/>
        <v>0.30946452992951573</v>
      </c>
    </row>
    <row r="52" spans="2:26" x14ac:dyDescent="0.3">
      <c r="B52" s="443">
        <v>0.35</v>
      </c>
      <c r="C52" s="372">
        <f t="shared" si="4"/>
        <v>24745</v>
      </c>
      <c r="D52" s="372">
        <f t="shared" si="4"/>
        <v>28280</v>
      </c>
      <c r="E52" s="372">
        <f t="shared" si="4"/>
        <v>31815</v>
      </c>
      <c r="F52" s="372">
        <f t="shared" si="4"/>
        <v>35350</v>
      </c>
      <c r="G52" s="372">
        <f t="shared" si="4"/>
        <v>38185</v>
      </c>
      <c r="H52" s="372">
        <f t="shared" si="4"/>
        <v>41020</v>
      </c>
      <c r="I52" s="372">
        <f t="shared" si="4"/>
        <v>43855</v>
      </c>
      <c r="J52" s="375">
        <f t="shared" si="4"/>
        <v>46690</v>
      </c>
      <c r="L52" s="19"/>
      <c r="M52" s="20"/>
      <c r="N52" s="20"/>
      <c r="O52" s="20"/>
      <c r="P52" s="21"/>
      <c r="R52" s="15" t="s">
        <v>445</v>
      </c>
      <c r="T52" s="169"/>
      <c r="U52" s="329">
        <v>0.20699999999999999</v>
      </c>
      <c r="V52" s="330">
        <v>0</v>
      </c>
      <c r="W52" s="330">
        <v>0</v>
      </c>
      <c r="X52" s="330">
        <v>0</v>
      </c>
      <c r="Y52" s="330">
        <v>0</v>
      </c>
      <c r="Z52" s="173">
        <f t="shared" ca="1" si="5"/>
        <v>0.30946452992951573</v>
      </c>
    </row>
    <row r="53" spans="2:26" x14ac:dyDescent="0.3">
      <c r="B53" s="443">
        <v>0.3</v>
      </c>
      <c r="C53" s="372">
        <f t="shared" si="4"/>
        <v>21210</v>
      </c>
      <c r="D53" s="372">
        <f t="shared" si="4"/>
        <v>24240</v>
      </c>
      <c r="E53" s="372">
        <f t="shared" si="4"/>
        <v>27270</v>
      </c>
      <c r="F53" s="372">
        <f t="shared" si="4"/>
        <v>30300</v>
      </c>
      <c r="G53" s="372">
        <f t="shared" si="4"/>
        <v>32730</v>
      </c>
      <c r="H53" s="372">
        <f t="shared" si="4"/>
        <v>35160</v>
      </c>
      <c r="I53" s="372">
        <f t="shared" si="4"/>
        <v>37590</v>
      </c>
      <c r="J53" s="375">
        <f t="shared" si="4"/>
        <v>40020</v>
      </c>
      <c r="R53" s="15" t="s">
        <v>446</v>
      </c>
      <c r="T53" s="169"/>
      <c r="U53" s="329">
        <v>3.2202000000000002</v>
      </c>
      <c r="V53" s="330">
        <v>0</v>
      </c>
      <c r="W53" s="330">
        <v>0</v>
      </c>
      <c r="X53" s="330">
        <v>0</v>
      </c>
      <c r="Y53" s="330">
        <v>0</v>
      </c>
      <c r="Z53" s="173">
        <f t="shared" ca="1" si="5"/>
        <v>0.30946452992951573</v>
      </c>
    </row>
    <row r="54" spans="2:26" x14ac:dyDescent="0.3">
      <c r="B54" s="443">
        <v>0.25</v>
      </c>
      <c r="C54" s="372">
        <f t="shared" si="4"/>
        <v>17675</v>
      </c>
      <c r="D54" s="372">
        <f t="shared" si="4"/>
        <v>20200</v>
      </c>
      <c r="E54" s="372">
        <f t="shared" si="4"/>
        <v>22725</v>
      </c>
      <c r="F54" s="372">
        <f t="shared" si="4"/>
        <v>25250</v>
      </c>
      <c r="G54" s="372">
        <f t="shared" si="4"/>
        <v>27275</v>
      </c>
      <c r="H54" s="372">
        <f t="shared" si="4"/>
        <v>29300</v>
      </c>
      <c r="I54" s="372">
        <f t="shared" si="4"/>
        <v>31325</v>
      </c>
      <c r="J54" s="375">
        <f t="shared" si="4"/>
        <v>33350</v>
      </c>
      <c r="R54" s="15" t="s">
        <v>447</v>
      </c>
      <c r="T54" s="169"/>
      <c r="U54" s="329">
        <v>13</v>
      </c>
      <c r="V54" s="330">
        <v>0</v>
      </c>
      <c r="W54" s="330">
        <v>0</v>
      </c>
      <c r="X54" s="330">
        <v>0</v>
      </c>
      <c r="Y54" s="330">
        <v>0</v>
      </c>
      <c r="Z54" s="173">
        <f t="shared" ca="1" si="5"/>
        <v>0.30946452992951573</v>
      </c>
    </row>
    <row r="55" spans="2:26" x14ac:dyDescent="0.3">
      <c r="B55" s="443">
        <v>0.2</v>
      </c>
      <c r="C55" s="372">
        <f t="shared" ref="C55:J55" si="6">ROUND(C$43*$B55,0)</f>
        <v>14140</v>
      </c>
      <c r="D55" s="372">
        <f t="shared" si="6"/>
        <v>16160</v>
      </c>
      <c r="E55" s="372">
        <f t="shared" si="6"/>
        <v>18180</v>
      </c>
      <c r="F55" s="372">
        <f t="shared" si="6"/>
        <v>20200</v>
      </c>
      <c r="G55" s="372">
        <f t="shared" si="6"/>
        <v>21820</v>
      </c>
      <c r="H55" s="372">
        <f t="shared" si="6"/>
        <v>23440</v>
      </c>
      <c r="I55" s="372">
        <f t="shared" si="6"/>
        <v>25060</v>
      </c>
      <c r="J55" s="375">
        <f t="shared" si="6"/>
        <v>26680</v>
      </c>
      <c r="R55" s="15" t="s">
        <v>448</v>
      </c>
      <c r="T55" s="169"/>
      <c r="U55" s="329">
        <v>8</v>
      </c>
      <c r="V55" s="330">
        <v>0</v>
      </c>
      <c r="W55" s="330">
        <v>0</v>
      </c>
      <c r="X55" s="330">
        <v>0</v>
      </c>
      <c r="Y55" s="330">
        <v>0</v>
      </c>
      <c r="Z55" s="173">
        <f t="shared" ca="1" si="5"/>
        <v>0.30946452992951573</v>
      </c>
    </row>
    <row r="56" spans="2:26" x14ac:dyDescent="0.3">
      <c r="B56" s="452"/>
      <c r="C56" s="453"/>
      <c r="D56" s="453"/>
      <c r="E56" s="453"/>
      <c r="F56" s="453"/>
      <c r="G56" s="453"/>
      <c r="H56" s="453"/>
      <c r="I56" s="453"/>
      <c r="J56" s="454"/>
      <c r="R56" s="15" t="s">
        <v>449</v>
      </c>
      <c r="T56" s="169"/>
      <c r="U56" s="329">
        <v>0.1986</v>
      </c>
      <c r="V56" s="330">
        <v>0</v>
      </c>
      <c r="W56" s="330">
        <v>0</v>
      </c>
      <c r="X56" s="330">
        <v>0</v>
      </c>
      <c r="Y56" s="330">
        <v>0</v>
      </c>
      <c r="Z56" s="173">
        <f t="shared" ca="1" si="5"/>
        <v>0.30946452992951573</v>
      </c>
    </row>
    <row r="57" spans="2:26" x14ac:dyDescent="0.3">
      <c r="R57" s="15" t="s">
        <v>450</v>
      </c>
      <c r="T57" s="169"/>
      <c r="U57" s="329">
        <v>9.9199999999999997E-2</v>
      </c>
      <c r="V57" s="330">
        <v>0</v>
      </c>
      <c r="W57" s="330">
        <v>0</v>
      </c>
      <c r="X57" s="330">
        <v>0</v>
      </c>
      <c r="Y57" s="330">
        <v>0</v>
      </c>
      <c r="Z57" s="173">
        <f t="shared" ca="1" si="5"/>
        <v>0.30946452992951573</v>
      </c>
    </row>
    <row r="58" spans="2:26" x14ac:dyDescent="0.3">
      <c r="R58" s="455" t="s">
        <v>451</v>
      </c>
      <c r="S58" s="456"/>
      <c r="T58" s="457"/>
      <c r="U58" s="458">
        <f ca="1">SUM(OFFSET(U$40,1,0):OFFSET(U$58,-1,0))</f>
        <v>85.551000000000002</v>
      </c>
      <c r="V58" s="458">
        <f ca="1">SUMPRODUCT(OFFSET($U$40,1,0):OFFSET($U$58,-1,0),OFFSET(V$40,1,0):OFFSET(V$58,-1,0))</f>
        <v>23.042999999999999</v>
      </c>
      <c r="W58" s="458">
        <f ca="1">SUMPRODUCT(OFFSET($U$40,1,0):OFFSET($U$58,-1,0),OFFSET(W$40,1,0):OFFSET(W$58,-1,0))</f>
        <v>11.5215</v>
      </c>
      <c r="X58" s="458">
        <f ca="1">SUMPRODUCT(OFFSET($U$40,1,0):OFFSET($U$58,-1,0),OFFSET(X$40,1,0):OFFSET(X$58,-1,0))</f>
        <v>23.042999999999999</v>
      </c>
      <c r="Y58" s="458">
        <f ca="1">SUMPRODUCT(OFFSET($U$40,1,0):OFFSET($U$58,-1,0),OFFSET(Y$40,1,0):OFFSET(Y$58,-1,0))</f>
        <v>0</v>
      </c>
      <c r="Z58" s="459">
        <v>26.475000000000001</v>
      </c>
    </row>
  </sheetData>
  <sheetProtection sheet="1" objects="1" scenarios="1"/>
  <mergeCells count="15">
    <mergeCell ref="W8:AB8"/>
    <mergeCell ref="W9:AB9"/>
    <mergeCell ref="Q8:V8"/>
    <mergeCell ref="Q9:V9"/>
    <mergeCell ref="K9:P9"/>
    <mergeCell ref="K8:P8"/>
    <mergeCell ref="I9:J10"/>
    <mergeCell ref="P37:P39"/>
    <mergeCell ref="R37:T40"/>
    <mergeCell ref="U37:U40"/>
    <mergeCell ref="V37:Z39"/>
    <mergeCell ref="L37:L40"/>
    <mergeCell ref="M37:M39"/>
    <mergeCell ref="N37:N39"/>
    <mergeCell ref="O37:O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0ED1-37F0-4F26-AF9A-AA5791762221}">
  <sheetPr>
    <pageSetUpPr fitToPage="1"/>
  </sheetPr>
  <dimension ref="A1:R20"/>
  <sheetViews>
    <sheetView workbookViewId="0">
      <selection activeCell="A2" sqref="A2"/>
    </sheetView>
  </sheetViews>
  <sheetFormatPr defaultColWidth="18.33203125" defaultRowHeight="14.4" x14ac:dyDescent="0.3"/>
  <cols>
    <col min="1" max="1" width="10.6640625" style="460" customWidth="1"/>
    <col min="2" max="13" width="9.109375" style="460" customWidth="1"/>
    <col min="14" max="14" width="6.33203125" style="460" customWidth="1"/>
    <col min="15" max="15" width="8" style="460" customWidth="1"/>
    <col min="16" max="16" width="43.33203125" style="460" customWidth="1"/>
    <col min="17" max="17" width="58.5546875" style="460" customWidth="1"/>
    <col min="18" max="16384" width="18.33203125" style="460"/>
  </cols>
  <sheetData>
    <row r="1" spans="1:18" x14ac:dyDescent="0.3">
      <c r="A1" s="518"/>
      <c r="B1" s="518"/>
      <c r="C1" s="518"/>
      <c r="D1" s="518"/>
      <c r="E1" s="518"/>
      <c r="F1" s="518"/>
      <c r="G1" s="518"/>
      <c r="H1" s="518"/>
      <c r="I1" s="518"/>
      <c r="J1" s="518"/>
      <c r="K1" s="518"/>
      <c r="L1" s="518"/>
      <c r="M1" s="518"/>
      <c r="N1" s="518"/>
      <c r="O1" s="518"/>
      <c r="P1" s="518"/>
      <c r="Q1" s="518"/>
      <c r="R1" s="518"/>
    </row>
    <row r="2" spans="1:18" ht="31.5" customHeight="1" x14ac:dyDescent="0.45">
      <c r="A2" s="518"/>
      <c r="B2" s="664" t="s">
        <v>452</v>
      </c>
      <c r="C2" s="664"/>
      <c r="D2" s="664"/>
      <c r="E2" s="664"/>
      <c r="F2" s="664"/>
      <c r="G2" s="664"/>
      <c r="H2" s="664"/>
      <c r="I2" s="664"/>
      <c r="J2" s="664"/>
      <c r="K2" s="664"/>
      <c r="L2" s="664"/>
      <c r="M2" s="664"/>
      <c r="N2" s="664"/>
      <c r="O2" s="664"/>
      <c r="P2" s="664"/>
      <c r="Q2" s="664"/>
      <c r="R2" s="518"/>
    </row>
    <row r="3" spans="1:18" ht="45" customHeight="1" x14ac:dyDescent="0.3">
      <c r="A3" s="518"/>
      <c r="B3" s="518"/>
      <c r="C3" s="662" t="s">
        <v>453</v>
      </c>
      <c r="D3" s="662"/>
      <c r="E3" s="662"/>
      <c r="F3" s="662"/>
      <c r="G3" s="662"/>
      <c r="H3" s="662"/>
      <c r="I3" s="662"/>
      <c r="J3" s="662"/>
      <c r="K3" s="662"/>
      <c r="L3" s="662"/>
      <c r="M3" s="662"/>
      <c r="N3" s="518"/>
      <c r="P3" s="518"/>
      <c r="Q3" s="518"/>
      <c r="R3" s="518"/>
    </row>
    <row r="4" spans="1:18" ht="45" customHeight="1" x14ac:dyDescent="0.3">
      <c r="A4" s="518"/>
      <c r="B4" s="520" t="s">
        <v>29</v>
      </c>
      <c r="C4" s="521">
        <v>0.3</v>
      </c>
      <c r="D4" s="521">
        <v>0.4</v>
      </c>
      <c r="E4" s="521">
        <v>0.5</v>
      </c>
      <c r="F4" s="521">
        <v>0.6</v>
      </c>
      <c r="G4" s="521">
        <v>0.7</v>
      </c>
      <c r="H4" s="522">
        <v>0.8</v>
      </c>
      <c r="I4" s="523">
        <v>0.9</v>
      </c>
      <c r="J4" s="521">
        <v>1</v>
      </c>
      <c r="K4" s="521">
        <v>1.1000000000000001</v>
      </c>
      <c r="L4" s="521">
        <v>1.2</v>
      </c>
      <c r="M4" s="521" t="s">
        <v>454</v>
      </c>
      <c r="N4" s="518"/>
      <c r="O4" s="665" t="s">
        <v>455</v>
      </c>
      <c r="P4" s="666"/>
      <c r="Q4" s="667"/>
      <c r="R4" s="518"/>
    </row>
    <row r="5" spans="1:18" ht="45" customHeight="1" x14ac:dyDescent="0.3">
      <c r="A5" s="663" t="s">
        <v>456</v>
      </c>
      <c r="B5" s="521">
        <v>0.3</v>
      </c>
      <c r="C5" s="461" t="s">
        <v>457</v>
      </c>
      <c r="D5" s="462" t="s">
        <v>458</v>
      </c>
      <c r="E5" s="462" t="s">
        <v>458</v>
      </c>
      <c r="F5" s="462" t="s">
        <v>458</v>
      </c>
      <c r="G5" s="462" t="s">
        <v>458</v>
      </c>
      <c r="H5" s="466" t="s">
        <v>458</v>
      </c>
      <c r="I5" s="464" t="s">
        <v>459</v>
      </c>
      <c r="J5" s="463" t="s">
        <v>459</v>
      </c>
      <c r="K5" s="463" t="s">
        <v>459</v>
      </c>
      <c r="L5" s="463" t="s">
        <v>459</v>
      </c>
      <c r="M5" s="465" t="s">
        <v>460</v>
      </c>
      <c r="N5" s="518"/>
      <c r="O5" s="668"/>
      <c r="P5" s="669"/>
      <c r="Q5" s="670"/>
      <c r="R5" s="518"/>
    </row>
    <row r="6" spans="1:18" ht="45" customHeight="1" x14ac:dyDescent="0.3">
      <c r="A6" s="663"/>
      <c r="B6" s="521">
        <v>0.4</v>
      </c>
      <c r="C6" s="461" t="s">
        <v>457</v>
      </c>
      <c r="D6" s="461" t="s">
        <v>457</v>
      </c>
      <c r="E6" s="462" t="s">
        <v>458</v>
      </c>
      <c r="F6" s="462" t="s">
        <v>458</v>
      </c>
      <c r="G6" s="462" t="s">
        <v>458</v>
      </c>
      <c r="H6" s="466" t="s">
        <v>458</v>
      </c>
      <c r="I6" s="464" t="s">
        <v>459</v>
      </c>
      <c r="J6" s="463" t="s">
        <v>459</v>
      </c>
      <c r="K6" s="463" t="s">
        <v>459</v>
      </c>
      <c r="L6" s="463" t="s">
        <v>459</v>
      </c>
      <c r="M6" s="465" t="s">
        <v>460</v>
      </c>
      <c r="N6" s="518"/>
      <c r="O6" s="518"/>
      <c r="P6" s="518"/>
      <c r="Q6" s="518"/>
      <c r="R6" s="518"/>
    </row>
    <row r="7" spans="1:18" ht="45" customHeight="1" x14ac:dyDescent="0.3">
      <c r="A7" s="663"/>
      <c r="B7" s="521">
        <v>0.5</v>
      </c>
      <c r="C7" s="461" t="s">
        <v>457</v>
      </c>
      <c r="D7" s="461" t="s">
        <v>457</v>
      </c>
      <c r="E7" s="461" t="s">
        <v>457</v>
      </c>
      <c r="F7" s="462" t="s">
        <v>458</v>
      </c>
      <c r="G7" s="462" t="s">
        <v>458</v>
      </c>
      <c r="H7" s="466" t="s">
        <v>458</v>
      </c>
      <c r="I7" s="464" t="s">
        <v>459</v>
      </c>
      <c r="J7" s="463" t="s">
        <v>459</v>
      </c>
      <c r="K7" s="463" t="s">
        <v>459</v>
      </c>
      <c r="L7" s="463" t="s">
        <v>459</v>
      </c>
      <c r="M7" s="465" t="s">
        <v>460</v>
      </c>
      <c r="N7" s="518"/>
      <c r="O7" s="518"/>
      <c r="Q7" s="518"/>
      <c r="R7" s="518"/>
    </row>
    <row r="8" spans="1:18" ht="45" customHeight="1" x14ac:dyDescent="0.3">
      <c r="A8" s="663"/>
      <c r="B8" s="521">
        <v>0.6</v>
      </c>
      <c r="C8" s="461" t="s">
        <v>457</v>
      </c>
      <c r="D8" s="461" t="s">
        <v>457</v>
      </c>
      <c r="E8" s="461" t="s">
        <v>457</v>
      </c>
      <c r="F8" s="461" t="s">
        <v>457</v>
      </c>
      <c r="G8" s="462" t="s">
        <v>458</v>
      </c>
      <c r="H8" s="466" t="s">
        <v>458</v>
      </c>
      <c r="I8" s="464" t="s">
        <v>459</v>
      </c>
      <c r="J8" s="463" t="s">
        <v>459</v>
      </c>
      <c r="K8" s="463" t="s">
        <v>459</v>
      </c>
      <c r="L8" s="463" t="s">
        <v>459</v>
      </c>
      <c r="M8" s="465" t="s">
        <v>460</v>
      </c>
      <c r="N8" s="518"/>
      <c r="O8" s="518"/>
      <c r="P8" s="519" t="s">
        <v>461</v>
      </c>
      <c r="Q8" s="519" t="s">
        <v>462</v>
      </c>
      <c r="R8" s="518"/>
    </row>
    <row r="9" spans="1:18" ht="45" customHeight="1" x14ac:dyDescent="0.3">
      <c r="A9" s="663"/>
      <c r="B9" s="521">
        <v>0.7</v>
      </c>
      <c r="C9" s="461" t="s">
        <v>457</v>
      </c>
      <c r="D9" s="461" t="s">
        <v>457</v>
      </c>
      <c r="E9" s="461" t="s">
        <v>457</v>
      </c>
      <c r="F9" s="461" t="s">
        <v>457</v>
      </c>
      <c r="G9" s="461" t="s">
        <v>457</v>
      </c>
      <c r="H9" s="466" t="s">
        <v>458</v>
      </c>
      <c r="I9" s="467" t="s">
        <v>463</v>
      </c>
      <c r="J9" s="463" t="s">
        <v>459</v>
      </c>
      <c r="K9" s="463" t="s">
        <v>459</v>
      </c>
      <c r="L9" s="463" t="s">
        <v>459</v>
      </c>
      <c r="M9" s="465" t="s">
        <v>460</v>
      </c>
      <c r="N9" s="518"/>
      <c r="O9" s="494" t="s">
        <v>457</v>
      </c>
      <c r="P9" s="524" t="s">
        <v>464</v>
      </c>
      <c r="Q9" s="524" t="s">
        <v>465</v>
      </c>
      <c r="R9" s="518"/>
    </row>
    <row r="10" spans="1:18" ht="45" customHeight="1" x14ac:dyDescent="0.3">
      <c r="A10" s="663"/>
      <c r="B10" s="527">
        <v>0.8</v>
      </c>
      <c r="C10" s="468" t="s">
        <v>457</v>
      </c>
      <c r="D10" s="468" t="s">
        <v>457</v>
      </c>
      <c r="E10" s="468" t="s">
        <v>457</v>
      </c>
      <c r="F10" s="468" t="s">
        <v>457</v>
      </c>
      <c r="G10" s="468" t="s">
        <v>457</v>
      </c>
      <c r="H10" s="469" t="s">
        <v>457</v>
      </c>
      <c r="I10" s="470" t="s">
        <v>463</v>
      </c>
      <c r="J10" s="471" t="s">
        <v>463</v>
      </c>
      <c r="K10" s="472" t="s">
        <v>459</v>
      </c>
      <c r="L10" s="472" t="s">
        <v>459</v>
      </c>
      <c r="M10" s="473" t="s">
        <v>460</v>
      </c>
      <c r="N10" s="518"/>
      <c r="O10" s="495" t="s">
        <v>466</v>
      </c>
      <c r="P10" s="524" t="s">
        <v>467</v>
      </c>
      <c r="Q10" s="524" t="s">
        <v>468</v>
      </c>
      <c r="R10" s="518"/>
    </row>
    <row r="11" spans="1:18" ht="45" customHeight="1" x14ac:dyDescent="0.3">
      <c r="A11" s="663"/>
      <c r="B11" s="528">
        <v>0.9</v>
      </c>
      <c r="C11" s="474" t="s">
        <v>457</v>
      </c>
      <c r="D11" s="474" t="s">
        <v>457</v>
      </c>
      <c r="E11" s="474" t="s">
        <v>457</v>
      </c>
      <c r="F11" s="474" t="s">
        <v>457</v>
      </c>
      <c r="G11" s="474" t="s">
        <v>457</v>
      </c>
      <c r="H11" s="475" t="s">
        <v>457</v>
      </c>
      <c r="I11" s="476" t="s">
        <v>466</v>
      </c>
      <c r="J11" s="477" t="s">
        <v>463</v>
      </c>
      <c r="K11" s="477" t="s">
        <v>463</v>
      </c>
      <c r="L11" s="478" t="s">
        <v>459</v>
      </c>
      <c r="M11" s="479" t="s">
        <v>460</v>
      </c>
      <c r="N11" s="518"/>
      <c r="O11" s="496" t="s">
        <v>458</v>
      </c>
      <c r="P11" s="524" t="s">
        <v>469</v>
      </c>
      <c r="Q11" s="524" t="s">
        <v>465</v>
      </c>
      <c r="R11" s="518"/>
    </row>
    <row r="12" spans="1:18" ht="45" customHeight="1" x14ac:dyDescent="0.3">
      <c r="A12" s="663"/>
      <c r="B12" s="521">
        <v>1</v>
      </c>
      <c r="C12" s="461" t="s">
        <v>457</v>
      </c>
      <c r="D12" s="461" t="s">
        <v>457</v>
      </c>
      <c r="E12" s="461" t="s">
        <v>457</v>
      </c>
      <c r="F12" s="461" t="s">
        <v>457</v>
      </c>
      <c r="G12" s="461" t="s">
        <v>457</v>
      </c>
      <c r="H12" s="480" t="s">
        <v>457</v>
      </c>
      <c r="I12" s="481" t="s">
        <v>466</v>
      </c>
      <c r="J12" s="482" t="s">
        <v>466</v>
      </c>
      <c r="K12" s="483" t="s">
        <v>463</v>
      </c>
      <c r="L12" s="483" t="s">
        <v>463</v>
      </c>
      <c r="M12" s="465" t="s">
        <v>460</v>
      </c>
      <c r="N12" s="518"/>
      <c r="O12" s="497" t="s">
        <v>463</v>
      </c>
      <c r="P12" s="525" t="s">
        <v>470</v>
      </c>
      <c r="Q12" s="525" t="s">
        <v>471</v>
      </c>
      <c r="R12" s="518"/>
    </row>
    <row r="13" spans="1:18" ht="45" customHeight="1" x14ac:dyDescent="0.3">
      <c r="A13" s="663"/>
      <c r="B13" s="529">
        <v>1.1000000000000001</v>
      </c>
      <c r="C13" s="484" t="s">
        <v>457</v>
      </c>
      <c r="D13" s="484" t="s">
        <v>457</v>
      </c>
      <c r="E13" s="484" t="s">
        <v>457</v>
      </c>
      <c r="F13" s="484" t="s">
        <v>457</v>
      </c>
      <c r="G13" s="484" t="s">
        <v>457</v>
      </c>
      <c r="H13" s="485" t="s">
        <v>457</v>
      </c>
      <c r="I13" s="486" t="s">
        <v>466</v>
      </c>
      <c r="J13" s="487" t="s">
        <v>466</v>
      </c>
      <c r="K13" s="487" t="s">
        <v>466</v>
      </c>
      <c r="L13" s="488" t="s">
        <v>463</v>
      </c>
      <c r="M13" s="489" t="s">
        <v>460</v>
      </c>
      <c r="N13" s="518"/>
      <c r="O13" s="498" t="s">
        <v>459</v>
      </c>
      <c r="P13" s="525" t="s">
        <v>472</v>
      </c>
      <c r="Q13" s="524" t="s">
        <v>473</v>
      </c>
      <c r="R13" s="518"/>
    </row>
    <row r="14" spans="1:18" ht="45" customHeight="1" x14ac:dyDescent="0.3">
      <c r="A14" s="663"/>
      <c r="B14" s="527">
        <v>1.2</v>
      </c>
      <c r="C14" s="468" t="s">
        <v>457</v>
      </c>
      <c r="D14" s="468" t="s">
        <v>457</v>
      </c>
      <c r="E14" s="468" t="s">
        <v>457</v>
      </c>
      <c r="F14" s="468" t="s">
        <v>457</v>
      </c>
      <c r="G14" s="468" t="s">
        <v>457</v>
      </c>
      <c r="H14" s="469" t="s">
        <v>457</v>
      </c>
      <c r="I14" s="490" t="s">
        <v>466</v>
      </c>
      <c r="J14" s="491" t="s">
        <v>466</v>
      </c>
      <c r="K14" s="491" t="s">
        <v>466</v>
      </c>
      <c r="L14" s="491" t="s">
        <v>466</v>
      </c>
      <c r="M14" s="473" t="s">
        <v>460</v>
      </c>
      <c r="N14" s="518"/>
      <c r="O14" s="499" t="s">
        <v>460</v>
      </c>
      <c r="P14" s="526" t="s">
        <v>474</v>
      </c>
      <c r="Q14" s="524" t="s">
        <v>473</v>
      </c>
      <c r="R14" s="518"/>
    </row>
    <row r="15" spans="1:18" ht="45" customHeight="1" x14ac:dyDescent="0.3">
      <c r="A15" s="663"/>
      <c r="B15" s="528" t="s">
        <v>475</v>
      </c>
      <c r="C15" s="474" t="s">
        <v>457</v>
      </c>
      <c r="D15" s="474" t="s">
        <v>457</v>
      </c>
      <c r="E15" s="474" t="s">
        <v>457</v>
      </c>
      <c r="F15" s="474" t="s">
        <v>457</v>
      </c>
      <c r="G15" s="474" t="s">
        <v>457</v>
      </c>
      <c r="H15" s="475" t="s">
        <v>457</v>
      </c>
      <c r="I15" s="492">
        <v>4</v>
      </c>
      <c r="J15" s="493">
        <v>4</v>
      </c>
      <c r="K15" s="493">
        <v>4</v>
      </c>
      <c r="L15" s="493">
        <v>4</v>
      </c>
      <c r="M15" s="493">
        <v>4</v>
      </c>
      <c r="N15" s="518"/>
      <c r="O15" s="500" t="s">
        <v>476</v>
      </c>
      <c r="P15" s="526" t="s">
        <v>477</v>
      </c>
      <c r="Q15" s="524" t="s">
        <v>478</v>
      </c>
      <c r="R15" s="518"/>
    </row>
    <row r="16" spans="1:18" s="518" customFormat="1" x14ac:dyDescent="0.3"/>
    <row r="17" s="518" customFormat="1" x14ac:dyDescent="0.3"/>
    <row r="18" s="518" customFormat="1" x14ac:dyDescent="0.3"/>
    <row r="19" s="518" customFormat="1" x14ac:dyDescent="0.3"/>
    <row r="20" s="518" customFormat="1" x14ac:dyDescent="0.3"/>
  </sheetData>
  <sheetProtection sheet="1" objects="1" scenarios="1"/>
  <protectedRanges>
    <protectedRange sqref="B5:B15 C4:M4" name="Overview"/>
  </protectedRanges>
  <mergeCells count="4">
    <mergeCell ref="C3:M3"/>
    <mergeCell ref="A5:A15"/>
    <mergeCell ref="B2:Q2"/>
    <mergeCell ref="O4:Q5"/>
  </mergeCells>
  <pageMargins left="0.7" right="0.7" top="0.75" bottom="0.75" header="0.3" footer="0.3"/>
  <pageSetup paperSize="3"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d167e7b-b703-4d72-a433-43eae6792792" xsi:nil="true"/>
    <TaxCatchAll xmlns="ba46730b-c407-432f-8349-c152ee394015" xsi:nil="true"/>
    <_ip_UnifiedCompliancePolicyUIAction xmlns="http://schemas.microsoft.com/sharepoint/v3" xsi:nil="true"/>
    <DateTime xmlns="7d167e7b-b703-4d72-a433-43eae6792792" xsi:nil="true"/>
    <Funding xmlns="7d167e7b-b703-4d72-a433-43eae6792792"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68606127B74A4CAF70515A283242B5" ma:contentTypeVersion="48" ma:contentTypeDescription="Create a new document." ma:contentTypeScope="" ma:versionID="c94032dd76caeec986f98446e42e6339">
  <xsd:schema xmlns:xsd="http://www.w3.org/2001/XMLSchema" xmlns:xs="http://www.w3.org/2001/XMLSchema" xmlns:p="http://schemas.microsoft.com/office/2006/metadata/properties" xmlns:ns1="http://schemas.microsoft.com/sharepoint/v3" xmlns:ns2="7d167e7b-b703-4d72-a433-43eae6792792" xmlns:ns3="ba46730b-c407-432f-8349-c152ee394015" targetNamespace="http://schemas.microsoft.com/office/2006/metadata/properties" ma:root="true" ma:fieldsID="4c5bf5012573ec809339693ea6bdf728" ns1:_="" ns2:_="" ns3:_="">
    <xsd:import namespace="http://schemas.microsoft.com/sharepoint/v3"/>
    <xsd:import namespace="7d167e7b-b703-4d72-a433-43eae6792792"/>
    <xsd:import namespace="ba46730b-c407-432f-8349-c152ee39401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element ref="ns2:DateTime" minOccurs="0"/>
                <xsd:element ref="ns2:Fund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167e7b-b703-4d72-a433-43eae679279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4" nillable="true" ma:displayName="Image Tags_0" ma:hidden="true" ma:internalName="lcf76f155ced4ddcb4097134ff3c332f">
      <xsd:simpleType>
        <xsd:restriction base="dms:Note"/>
      </xsd:simpleType>
    </xsd:element>
    <xsd:element name="MediaServiceLocation" ma:index="16"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element name="DateTime" ma:index="25" nillable="true" ma:displayName="Date &amp; Time" ma:format="DateOnly" ma:internalName="DateTime">
      <xsd:simpleType>
        <xsd:restriction base="dms:DateTime"/>
      </xsd:simpleType>
    </xsd:element>
    <xsd:element name="Funding" ma:index="26" nillable="true" ma:displayName="Funding" ma:format="Dropdown" ma:internalName="Funding">
      <xsd:simpleType>
        <xsd:restriction base="dms:Choice">
          <xsd:enumeration value="HOME"/>
          <xsd:enumeration value="CDBG"/>
          <xsd:enumeration value="NSP"/>
        </xsd:restriction>
      </xsd:simpleType>
    </xsd:element>
  </xsd:schema>
  <xsd:schema xmlns:xsd="http://www.w3.org/2001/XMLSchema" xmlns:xs="http://www.w3.org/2001/XMLSchema" xmlns:dms="http://schemas.microsoft.com/office/2006/documentManagement/types" xmlns:pc="http://schemas.microsoft.com/office/infopath/2007/PartnerControls" targetNamespace="ba46730b-c407-432f-8349-c152ee39401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deaa692-75c4-4ccc-8e99-1829ae6c8539}" ma:internalName="TaxCatchAll" ma:showField="CatchAllData" ma:web="ba46730b-c407-432f-8349-c152ee39401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B7AC66-2953-4CC7-BBB9-8449EAD8F7EB}">
  <ds:schemaRefs>
    <ds:schemaRef ds:uri="http://purl.org/dc/elements/1.1/"/>
    <ds:schemaRef ds:uri="ba46730b-c407-432f-8349-c152ee394015"/>
    <ds:schemaRef ds:uri="http://purl.org/dc/dcmitype/"/>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7d167e7b-b703-4d72-a433-43eae6792792"/>
    <ds:schemaRef ds:uri="http://schemas.microsoft.com/sharepoint/v3"/>
  </ds:schemaRefs>
</ds:datastoreItem>
</file>

<file path=customXml/itemProps2.xml><?xml version="1.0" encoding="utf-8"?>
<ds:datastoreItem xmlns:ds="http://schemas.openxmlformats.org/officeDocument/2006/customXml" ds:itemID="{F8FF54E3-3BE8-4F31-916B-E7BDB42F3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167e7b-b703-4d72-a433-43eae6792792"/>
    <ds:schemaRef ds:uri="ba46730b-c407-432f-8349-c152ee3940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50DF90-7442-4632-8F9B-582DD0E7D1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Unit Summary - Rent Roll</vt:lpstr>
      <vt:lpstr>Financials-FTHP &amp; GAHP</vt:lpstr>
      <vt:lpstr>Financials- SWHP</vt:lpstr>
      <vt:lpstr>Investment Summary</vt:lpstr>
      <vt:lpstr>List</vt:lpstr>
      <vt:lpstr>Data - Reference</vt:lpstr>
      <vt:lpstr>Current Tenant Policy-Reference</vt:lpstr>
    </vt:vector>
  </TitlesOfParts>
  <Manager/>
  <Company>Plante Moran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 Austermann</dc:creator>
  <cp:keywords/>
  <dc:description/>
  <cp:lastModifiedBy>Elaina Peterson</cp:lastModifiedBy>
  <cp:revision/>
  <dcterms:created xsi:type="dcterms:W3CDTF">2024-11-12T21:04:24Z</dcterms:created>
  <dcterms:modified xsi:type="dcterms:W3CDTF">2025-07-11T13:41:34Z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0x0101008168606127B74A4CAF70515A283242B5</vt:lpwstr>
  </property>
  <property fmtid="{D5CDD505-2E9C-101B-9397-08002B2CF9AE}" pid="3" name="_dlc_DocIdItemGuid">
    <vt:lpwstr>3d77fde7-f71e-4eb0-9491-4b5123da9f59</vt:lpwstr>
  </property>
  <property fmtid="{D5CDD505-2E9C-101B-9397-08002B2CF9AE}" pid="4" name="MediaServiceImageTags">
    <vt:lpwstr/>
  </property>
</Properties>
</file>