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4A2AAEF8-0948-4D71-A816-90E4B1C56D16}" xr6:coauthVersionLast="47" xr6:coauthVersionMax="47" xr10:uidLastSave="{00000000-0000-0000-0000-000000000000}"/>
  <bookViews>
    <workbookView xWindow="-108" yWindow="-108" windowWidth="23256" windowHeight="12456" xr2:uid="{F961B051-ADF4-4FC7-9235-64D7F872513E}"/>
  </bookViews>
  <sheets>
    <sheet name="Overview" sheetId="4" r:id="rId1"/>
    <sheet name="Rent Roll" sheetId="7" r:id="rId2"/>
    <sheet name="Investment Summary" sheetId="8" r:id="rId3"/>
    <sheet name="FTHP &amp; GAHP" sheetId="5" r:id="rId4"/>
    <sheet name="SWHP" sheetId="6" r:id="rId5"/>
    <sheet name="Data" sheetId="2" r:id="rId6"/>
    <sheet name="List" sheetId="3" state="hidden" r:id="rId7"/>
  </sheets>
  <definedNames>
    <definedName name="_xlnm._FilterDatabase" localSheetId="5" hidden="1">Data!$B$28:$J$46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7" i="6" l="1"/>
  <c r="Z50" i="6"/>
  <c r="Y50" i="6"/>
  <c r="Z49" i="6"/>
  <c r="Y49" i="6"/>
  <c r="Z48" i="6"/>
  <c r="Y48" i="6"/>
  <c r="Z47" i="6"/>
  <c r="Y47" i="6"/>
  <c r="Z46" i="6"/>
  <c r="Y46" i="6"/>
  <c r="Z38" i="6"/>
  <c r="Y38" i="6"/>
  <c r="Z37" i="6"/>
  <c r="Y37" i="6"/>
  <c r="Z36" i="6"/>
  <c r="Y36" i="6"/>
  <c r="Z35" i="6"/>
  <c r="Y35" i="6"/>
  <c r="Z34" i="6"/>
  <c r="Y34" i="6"/>
  <c r="Z33" i="6"/>
  <c r="Y33" i="6"/>
  <c r="Z31" i="6"/>
  <c r="Y31" i="6"/>
  <c r="Z30" i="6"/>
  <c r="Y30" i="6"/>
  <c r="Z29" i="6"/>
  <c r="Y29" i="6"/>
  <c r="Z28" i="6"/>
  <c r="Y28" i="6"/>
  <c r="Z27" i="6"/>
  <c r="Y27" i="6"/>
  <c r="Z26" i="6"/>
  <c r="Y26" i="6"/>
  <c r="Z25" i="6"/>
  <c r="Y25" i="6"/>
  <c r="Z24" i="6"/>
  <c r="Y24" i="6"/>
  <c r="Z19" i="6"/>
  <c r="Y19" i="6"/>
  <c r="Z18" i="6"/>
  <c r="Y18" i="6"/>
  <c r="R80" i="6"/>
  <c r="S58" i="6"/>
  <c r="R58" i="6"/>
  <c r="Q58" i="6"/>
  <c r="S57" i="6"/>
  <c r="R57" i="6"/>
  <c r="Q57" i="6"/>
  <c r="S56" i="6"/>
  <c r="R56" i="6"/>
  <c r="Q56" i="6"/>
  <c r="S55" i="6"/>
  <c r="R55" i="6"/>
  <c r="Q55" i="6"/>
  <c r="S52" i="6"/>
  <c r="R52" i="6"/>
  <c r="Q52" i="6"/>
  <c r="S51" i="6"/>
  <c r="R51" i="6"/>
  <c r="Q51" i="6"/>
  <c r="S50" i="6"/>
  <c r="R50" i="6"/>
  <c r="Q50" i="6"/>
  <c r="S49" i="6"/>
  <c r="R49" i="6"/>
  <c r="Q49" i="6"/>
  <c r="S48" i="6"/>
  <c r="R48" i="6"/>
  <c r="Q48" i="6"/>
  <c r="S47" i="6"/>
  <c r="R47" i="6"/>
  <c r="Q47" i="6"/>
  <c r="S46" i="6"/>
  <c r="R46" i="6"/>
  <c r="Q46" i="6"/>
  <c r="S45" i="6"/>
  <c r="R45" i="6"/>
  <c r="Q45" i="6"/>
  <c r="S44" i="6"/>
  <c r="R44" i="6"/>
  <c r="Q44" i="6"/>
  <c r="S43" i="6"/>
  <c r="R43" i="6"/>
  <c r="Q43" i="6"/>
  <c r="S42" i="6"/>
  <c r="R42" i="6"/>
  <c r="Q42" i="6"/>
  <c r="S41" i="6"/>
  <c r="R41" i="6"/>
  <c r="Q41" i="6"/>
  <c r="S40" i="6"/>
  <c r="R40" i="6"/>
  <c r="Q40" i="6"/>
  <c r="S39" i="6"/>
  <c r="R39" i="6"/>
  <c r="Q39" i="6"/>
  <c r="S38" i="6"/>
  <c r="R38" i="6"/>
  <c r="Q38" i="6"/>
  <c r="S37" i="6"/>
  <c r="R37" i="6"/>
  <c r="Q37" i="6"/>
  <c r="S34" i="6"/>
  <c r="R34" i="6"/>
  <c r="Q34" i="6"/>
  <c r="S33" i="6"/>
  <c r="R33" i="6"/>
  <c r="Q33" i="6"/>
  <c r="S32" i="6"/>
  <c r="R32" i="6"/>
  <c r="Q32" i="6"/>
  <c r="S31" i="6"/>
  <c r="R31" i="6"/>
  <c r="Q31" i="6"/>
  <c r="S30" i="6"/>
  <c r="R30" i="6"/>
  <c r="Q30" i="6"/>
  <c r="S29" i="6"/>
  <c r="R29" i="6"/>
  <c r="Q29" i="6"/>
  <c r="S28" i="6"/>
  <c r="R28" i="6"/>
  <c r="Q28" i="6"/>
  <c r="S27" i="6"/>
  <c r="R27" i="6"/>
  <c r="Q27" i="6"/>
  <c r="S26" i="6"/>
  <c r="R26" i="6"/>
  <c r="Q26" i="6"/>
  <c r="S25" i="6"/>
  <c r="R25" i="6"/>
  <c r="Q25" i="6"/>
  <c r="S24" i="6"/>
  <c r="R24" i="6"/>
  <c r="Q24" i="6"/>
  <c r="S23" i="6"/>
  <c r="R23" i="6"/>
  <c r="Q23" i="6"/>
  <c r="S22" i="6"/>
  <c r="R22" i="6"/>
  <c r="Q22" i="6"/>
  <c r="S21" i="6"/>
  <c r="R21" i="6"/>
  <c r="Q21" i="6"/>
  <c r="S20" i="6"/>
  <c r="R20" i="6"/>
  <c r="Q20" i="6"/>
  <c r="S19" i="6"/>
  <c r="R19" i="6"/>
  <c r="Q19" i="6"/>
  <c r="S18" i="6"/>
  <c r="R18" i="6"/>
  <c r="Q18" i="6"/>
  <c r="S17" i="6"/>
  <c r="R17" i="6"/>
  <c r="Q17" i="6"/>
  <c r="I117" i="6"/>
  <c r="H117" i="6"/>
  <c r="G117" i="6"/>
  <c r="I115" i="6"/>
  <c r="H115" i="6"/>
  <c r="G115" i="6"/>
  <c r="I113" i="6"/>
  <c r="H113" i="6"/>
  <c r="G113" i="6"/>
  <c r="I111" i="6"/>
  <c r="H111" i="6"/>
  <c r="G111" i="6"/>
  <c r="I110" i="6"/>
  <c r="H110" i="6"/>
  <c r="G110" i="6"/>
  <c r="I109" i="6"/>
  <c r="H109" i="6"/>
  <c r="G109" i="6"/>
  <c r="I108" i="6"/>
  <c r="H108" i="6"/>
  <c r="G108" i="6"/>
  <c r="I107" i="6"/>
  <c r="H107" i="6"/>
  <c r="G107" i="6"/>
  <c r="I104" i="6"/>
  <c r="H104" i="6"/>
  <c r="G104" i="6"/>
  <c r="I103" i="6"/>
  <c r="H103" i="6"/>
  <c r="G103" i="6"/>
  <c r="I102" i="6"/>
  <c r="H102" i="6"/>
  <c r="G102" i="6"/>
  <c r="I101" i="6"/>
  <c r="H101" i="6"/>
  <c r="G101" i="6"/>
  <c r="I100" i="6"/>
  <c r="H100" i="6"/>
  <c r="G100" i="6"/>
  <c r="I99" i="6"/>
  <c r="H99" i="6"/>
  <c r="G99" i="6"/>
  <c r="I98" i="6"/>
  <c r="H98" i="6"/>
  <c r="G98" i="6"/>
  <c r="I97" i="6"/>
  <c r="H97" i="6"/>
  <c r="G97" i="6"/>
  <c r="I96" i="6"/>
  <c r="H96" i="6"/>
  <c r="G96" i="6"/>
  <c r="I95" i="6"/>
  <c r="H95" i="6"/>
  <c r="G95" i="6"/>
  <c r="I92" i="6"/>
  <c r="H92" i="6"/>
  <c r="G92" i="6"/>
  <c r="I91" i="6"/>
  <c r="H91" i="6"/>
  <c r="G91" i="6"/>
  <c r="I90" i="6"/>
  <c r="H90" i="6"/>
  <c r="G90" i="6"/>
  <c r="I89" i="6"/>
  <c r="H89" i="6"/>
  <c r="G89" i="6"/>
  <c r="I88" i="6"/>
  <c r="H88" i="6"/>
  <c r="G88" i="6"/>
  <c r="I87" i="6"/>
  <c r="H87" i="6"/>
  <c r="G87" i="6"/>
  <c r="I86" i="6"/>
  <c r="H86" i="6"/>
  <c r="G86" i="6"/>
  <c r="I85" i="6"/>
  <c r="H85" i="6"/>
  <c r="G85" i="6"/>
  <c r="I82" i="6"/>
  <c r="H82" i="6"/>
  <c r="G82" i="6"/>
  <c r="I81" i="6"/>
  <c r="H81" i="6"/>
  <c r="G81" i="6"/>
  <c r="I80" i="6"/>
  <c r="H80" i="6"/>
  <c r="G80" i="6"/>
  <c r="I79" i="6"/>
  <c r="H79" i="6"/>
  <c r="G79" i="6"/>
  <c r="I78" i="6"/>
  <c r="H78" i="6"/>
  <c r="G78" i="6"/>
  <c r="I77" i="6"/>
  <c r="H77" i="6"/>
  <c r="G77" i="6"/>
  <c r="I76" i="6"/>
  <c r="H76" i="6"/>
  <c r="G76" i="6"/>
  <c r="I75" i="6"/>
  <c r="H75" i="6"/>
  <c r="G75" i="6"/>
  <c r="I74" i="6"/>
  <c r="H74" i="6"/>
  <c r="G74" i="6"/>
  <c r="I73" i="6"/>
  <c r="H73" i="6"/>
  <c r="G73" i="6"/>
  <c r="I70" i="6"/>
  <c r="H70" i="6"/>
  <c r="G70" i="6"/>
  <c r="I69" i="6"/>
  <c r="H69" i="6"/>
  <c r="G69" i="6"/>
  <c r="I68" i="6"/>
  <c r="H68" i="6"/>
  <c r="G68" i="6"/>
  <c r="I65" i="6"/>
  <c r="H65" i="6"/>
  <c r="G65" i="6"/>
  <c r="I64" i="6"/>
  <c r="H64" i="6"/>
  <c r="G64" i="6"/>
  <c r="I63" i="6"/>
  <c r="H63" i="6"/>
  <c r="G63" i="6"/>
  <c r="I62" i="6"/>
  <c r="H62" i="6"/>
  <c r="G62" i="6"/>
  <c r="I61" i="6"/>
  <c r="H61" i="6"/>
  <c r="G61" i="6"/>
  <c r="I60" i="6"/>
  <c r="H60" i="6"/>
  <c r="G60" i="6"/>
  <c r="I59" i="6"/>
  <c r="H59" i="6"/>
  <c r="G59" i="6"/>
  <c r="I56" i="6"/>
  <c r="H56" i="6"/>
  <c r="G56" i="6"/>
  <c r="I55" i="6"/>
  <c r="H55" i="6"/>
  <c r="G55" i="6"/>
  <c r="I54" i="6"/>
  <c r="H54" i="6"/>
  <c r="G54" i="6"/>
  <c r="I53" i="6"/>
  <c r="H53" i="6"/>
  <c r="G53" i="6"/>
  <c r="I52" i="6"/>
  <c r="H52" i="6"/>
  <c r="G52" i="6"/>
  <c r="I51" i="6"/>
  <c r="H51" i="6"/>
  <c r="G51" i="6"/>
  <c r="I50" i="6"/>
  <c r="H50" i="6"/>
  <c r="G50" i="6"/>
  <c r="I49" i="6"/>
  <c r="H49" i="6"/>
  <c r="G49" i="6"/>
  <c r="I45" i="6"/>
  <c r="H45" i="6"/>
  <c r="G45" i="6"/>
  <c r="E45" i="6" s="1"/>
  <c r="I43" i="6"/>
  <c r="H43" i="6"/>
  <c r="G43" i="6"/>
  <c r="I42" i="6"/>
  <c r="H42" i="6"/>
  <c r="G42" i="6"/>
  <c r="I41" i="6"/>
  <c r="H41" i="6"/>
  <c r="G41" i="6"/>
  <c r="I40" i="6"/>
  <c r="H40" i="6"/>
  <c r="G40" i="6"/>
  <c r="I39" i="6"/>
  <c r="H39" i="6"/>
  <c r="G39" i="6"/>
  <c r="I38" i="6"/>
  <c r="H38" i="6"/>
  <c r="G38" i="6"/>
  <c r="I37" i="6"/>
  <c r="H37" i="6"/>
  <c r="G37" i="6"/>
  <c r="I36" i="6"/>
  <c r="H36" i="6"/>
  <c r="G36" i="6"/>
  <c r="I35" i="6"/>
  <c r="H35" i="6"/>
  <c r="G35" i="6"/>
  <c r="I34" i="6"/>
  <c r="H34" i="6"/>
  <c r="G34" i="6"/>
  <c r="I31" i="6"/>
  <c r="H31" i="6"/>
  <c r="G31" i="6"/>
  <c r="I30" i="6"/>
  <c r="H30" i="6"/>
  <c r="G30" i="6"/>
  <c r="I29" i="6"/>
  <c r="H29" i="6"/>
  <c r="G29" i="6"/>
  <c r="I28" i="6"/>
  <c r="H28" i="6"/>
  <c r="G28" i="6"/>
  <c r="I27" i="6"/>
  <c r="H27" i="6"/>
  <c r="G27" i="6"/>
  <c r="I26" i="6"/>
  <c r="H26" i="6"/>
  <c r="G26" i="6"/>
  <c r="I25" i="6"/>
  <c r="H25" i="6"/>
  <c r="G25" i="6"/>
  <c r="I24" i="6"/>
  <c r="H24" i="6"/>
  <c r="G24" i="6"/>
  <c r="I20" i="6"/>
  <c r="H20" i="6"/>
  <c r="G20" i="6"/>
  <c r="I19" i="6"/>
  <c r="H19" i="6"/>
  <c r="G19" i="6"/>
  <c r="I18" i="6"/>
  <c r="H18" i="6"/>
  <c r="G18" i="6"/>
  <c r="I17" i="6"/>
  <c r="H17" i="6"/>
  <c r="G17" i="6"/>
  <c r="P59" i="5"/>
  <c r="O59" i="5"/>
  <c r="N59" i="5"/>
  <c r="P58" i="5"/>
  <c r="O58" i="5"/>
  <c r="N58" i="5"/>
  <c r="P57" i="5"/>
  <c r="O57" i="5"/>
  <c r="N57" i="5"/>
  <c r="P56" i="5"/>
  <c r="O56" i="5"/>
  <c r="N56" i="5"/>
  <c r="P53" i="5"/>
  <c r="O53" i="5"/>
  <c r="N53" i="5"/>
  <c r="P52" i="5"/>
  <c r="O52" i="5"/>
  <c r="N52" i="5"/>
  <c r="P51" i="5"/>
  <c r="O51" i="5"/>
  <c r="N51" i="5"/>
  <c r="P50" i="5"/>
  <c r="O50" i="5"/>
  <c r="N50" i="5"/>
  <c r="P49" i="5"/>
  <c r="O49" i="5"/>
  <c r="N49" i="5"/>
  <c r="P48" i="5"/>
  <c r="O48" i="5"/>
  <c r="N48" i="5"/>
  <c r="P47" i="5"/>
  <c r="O47" i="5"/>
  <c r="N47" i="5"/>
  <c r="P46" i="5"/>
  <c r="O46" i="5"/>
  <c r="N46" i="5"/>
  <c r="P45" i="5"/>
  <c r="O45" i="5"/>
  <c r="N45" i="5"/>
  <c r="P44" i="5"/>
  <c r="O44" i="5"/>
  <c r="N44" i="5"/>
  <c r="P43" i="5"/>
  <c r="O43" i="5"/>
  <c r="N43" i="5"/>
  <c r="P42" i="5"/>
  <c r="O42" i="5"/>
  <c r="N42" i="5"/>
  <c r="P41" i="5"/>
  <c r="O41" i="5"/>
  <c r="N41" i="5"/>
  <c r="P40" i="5"/>
  <c r="O40" i="5"/>
  <c r="N40" i="5"/>
  <c r="P39" i="5"/>
  <c r="O39" i="5"/>
  <c r="N39" i="5"/>
  <c r="P38" i="5"/>
  <c r="O38" i="5"/>
  <c r="N38" i="5"/>
  <c r="P35" i="5"/>
  <c r="O35" i="5"/>
  <c r="N35" i="5"/>
  <c r="P34" i="5"/>
  <c r="O34" i="5"/>
  <c r="N34" i="5"/>
  <c r="P33" i="5"/>
  <c r="O33" i="5"/>
  <c r="N33" i="5"/>
  <c r="P32" i="5"/>
  <c r="O32" i="5"/>
  <c r="N32" i="5"/>
  <c r="P31" i="5"/>
  <c r="O31" i="5"/>
  <c r="N31" i="5"/>
  <c r="P30" i="5"/>
  <c r="O30" i="5"/>
  <c r="N30" i="5"/>
  <c r="P29" i="5"/>
  <c r="O29" i="5"/>
  <c r="N29" i="5"/>
  <c r="P28" i="5"/>
  <c r="O28" i="5"/>
  <c r="N28" i="5"/>
  <c r="P27" i="5"/>
  <c r="O27" i="5"/>
  <c r="N27" i="5"/>
  <c r="P26" i="5"/>
  <c r="O26" i="5"/>
  <c r="N26" i="5"/>
  <c r="P25" i="5"/>
  <c r="O25" i="5"/>
  <c r="N25" i="5"/>
  <c r="P24" i="5"/>
  <c r="O24" i="5"/>
  <c r="N24" i="5"/>
  <c r="P23" i="5"/>
  <c r="O23" i="5"/>
  <c r="N23" i="5"/>
  <c r="P22" i="5"/>
  <c r="O22" i="5"/>
  <c r="N22" i="5"/>
  <c r="P21" i="5"/>
  <c r="O21" i="5"/>
  <c r="N21" i="5"/>
  <c r="P20" i="5"/>
  <c r="O20" i="5"/>
  <c r="N20" i="5"/>
  <c r="P19" i="5"/>
  <c r="O19" i="5"/>
  <c r="N19" i="5"/>
  <c r="P18" i="5"/>
  <c r="O18" i="5"/>
  <c r="N18" i="5"/>
  <c r="E46" i="5"/>
  <c r="I114" i="5"/>
  <c r="H114" i="5"/>
  <c r="G114" i="5"/>
  <c r="I112" i="5"/>
  <c r="H112" i="5"/>
  <c r="G112" i="5"/>
  <c r="I111" i="5"/>
  <c r="H111" i="5"/>
  <c r="G111" i="5"/>
  <c r="I110" i="5"/>
  <c r="H110" i="5"/>
  <c r="G110" i="5"/>
  <c r="I109" i="5"/>
  <c r="H109" i="5"/>
  <c r="G109" i="5"/>
  <c r="I108" i="5"/>
  <c r="H108" i="5"/>
  <c r="G108" i="5"/>
  <c r="I105" i="5"/>
  <c r="H105" i="5"/>
  <c r="G105" i="5"/>
  <c r="I104" i="5"/>
  <c r="H104" i="5"/>
  <c r="G104" i="5"/>
  <c r="I103" i="5"/>
  <c r="H103" i="5"/>
  <c r="G103" i="5"/>
  <c r="I102" i="5"/>
  <c r="H102" i="5"/>
  <c r="G102" i="5"/>
  <c r="I101" i="5"/>
  <c r="H101" i="5"/>
  <c r="G101" i="5"/>
  <c r="I100" i="5"/>
  <c r="H100" i="5"/>
  <c r="G100" i="5"/>
  <c r="I99" i="5"/>
  <c r="H99" i="5"/>
  <c r="G99" i="5"/>
  <c r="I98" i="5"/>
  <c r="H98" i="5"/>
  <c r="G98" i="5"/>
  <c r="I97" i="5"/>
  <c r="H97" i="5"/>
  <c r="G97" i="5"/>
  <c r="I96" i="5"/>
  <c r="H96" i="5"/>
  <c r="G96" i="5"/>
  <c r="I93" i="5"/>
  <c r="H93" i="5"/>
  <c r="G93" i="5"/>
  <c r="I92" i="5"/>
  <c r="H92" i="5"/>
  <c r="G92" i="5"/>
  <c r="I91" i="5"/>
  <c r="H91" i="5"/>
  <c r="G91" i="5"/>
  <c r="I90" i="5"/>
  <c r="H90" i="5"/>
  <c r="G90" i="5"/>
  <c r="I89" i="5"/>
  <c r="H89" i="5"/>
  <c r="G89" i="5"/>
  <c r="I88" i="5"/>
  <c r="H88" i="5"/>
  <c r="G88" i="5"/>
  <c r="I87" i="5"/>
  <c r="H87" i="5"/>
  <c r="G87" i="5"/>
  <c r="I86" i="5"/>
  <c r="H86" i="5"/>
  <c r="G86" i="5"/>
  <c r="I83" i="5"/>
  <c r="H83" i="5"/>
  <c r="G83" i="5"/>
  <c r="I82" i="5"/>
  <c r="H82" i="5"/>
  <c r="G82" i="5"/>
  <c r="I81" i="5"/>
  <c r="H81" i="5"/>
  <c r="G81" i="5"/>
  <c r="I80" i="5"/>
  <c r="H80" i="5"/>
  <c r="G80" i="5"/>
  <c r="I79" i="5"/>
  <c r="H79" i="5"/>
  <c r="G79" i="5"/>
  <c r="I78" i="5"/>
  <c r="H78" i="5"/>
  <c r="G78" i="5"/>
  <c r="I77" i="5"/>
  <c r="H77" i="5"/>
  <c r="G77" i="5"/>
  <c r="I76" i="5"/>
  <c r="H76" i="5"/>
  <c r="G76" i="5"/>
  <c r="I75" i="5"/>
  <c r="H75" i="5"/>
  <c r="G75" i="5"/>
  <c r="I74" i="5"/>
  <c r="H74" i="5"/>
  <c r="G74" i="5"/>
  <c r="I71" i="5"/>
  <c r="H71" i="5"/>
  <c r="G71" i="5"/>
  <c r="I70" i="5"/>
  <c r="H70" i="5"/>
  <c r="G70" i="5"/>
  <c r="I69" i="5"/>
  <c r="H69" i="5"/>
  <c r="G69" i="5"/>
  <c r="I66" i="5"/>
  <c r="H66" i="5"/>
  <c r="G66" i="5"/>
  <c r="I65" i="5"/>
  <c r="H65" i="5"/>
  <c r="G65" i="5"/>
  <c r="I64" i="5"/>
  <c r="H64" i="5"/>
  <c r="G64" i="5"/>
  <c r="I63" i="5"/>
  <c r="H63" i="5"/>
  <c r="G63" i="5"/>
  <c r="I62" i="5"/>
  <c r="H62" i="5"/>
  <c r="G62" i="5"/>
  <c r="I61" i="5"/>
  <c r="H61" i="5"/>
  <c r="G61" i="5"/>
  <c r="I60" i="5"/>
  <c r="H60" i="5"/>
  <c r="G60" i="5"/>
  <c r="I57" i="5"/>
  <c r="H57" i="5"/>
  <c r="G57" i="5"/>
  <c r="I56" i="5"/>
  <c r="H56" i="5"/>
  <c r="G56" i="5"/>
  <c r="I55" i="5"/>
  <c r="H55" i="5"/>
  <c r="G55" i="5"/>
  <c r="I54" i="5"/>
  <c r="H54" i="5"/>
  <c r="G54" i="5"/>
  <c r="I53" i="5"/>
  <c r="H53" i="5"/>
  <c r="G53" i="5"/>
  <c r="I52" i="5"/>
  <c r="H52" i="5"/>
  <c r="G52" i="5"/>
  <c r="I51" i="5"/>
  <c r="H51" i="5"/>
  <c r="G51" i="5"/>
  <c r="I50" i="5"/>
  <c r="H50" i="5"/>
  <c r="G50" i="5"/>
  <c r="I46" i="5"/>
  <c r="H46" i="5"/>
  <c r="G46" i="5"/>
  <c r="I44" i="5"/>
  <c r="H44" i="5"/>
  <c r="G44" i="5"/>
  <c r="I43" i="5"/>
  <c r="H43" i="5"/>
  <c r="G43" i="5"/>
  <c r="I42" i="5"/>
  <c r="H42" i="5"/>
  <c r="G42" i="5"/>
  <c r="I41" i="5"/>
  <c r="H41" i="5"/>
  <c r="G41" i="5"/>
  <c r="I40" i="5"/>
  <c r="H40" i="5"/>
  <c r="G40" i="5"/>
  <c r="I39" i="5"/>
  <c r="H39" i="5"/>
  <c r="G39" i="5"/>
  <c r="I38" i="5"/>
  <c r="H38" i="5"/>
  <c r="G38" i="5"/>
  <c r="I37" i="5"/>
  <c r="H37" i="5"/>
  <c r="G37" i="5"/>
  <c r="I36" i="5"/>
  <c r="H36" i="5"/>
  <c r="G36" i="5"/>
  <c r="I35" i="5"/>
  <c r="H35" i="5"/>
  <c r="G35" i="5"/>
  <c r="I32" i="5"/>
  <c r="H32" i="5"/>
  <c r="G32" i="5"/>
  <c r="I31" i="5"/>
  <c r="H31" i="5"/>
  <c r="G31" i="5"/>
  <c r="I30" i="5"/>
  <c r="H30" i="5"/>
  <c r="G30" i="5"/>
  <c r="I29" i="5"/>
  <c r="H29" i="5"/>
  <c r="G29" i="5"/>
  <c r="I28" i="5"/>
  <c r="H28" i="5"/>
  <c r="G28" i="5"/>
  <c r="I27" i="5"/>
  <c r="H27" i="5"/>
  <c r="G27" i="5"/>
  <c r="I26" i="5"/>
  <c r="H26" i="5"/>
  <c r="G26" i="5"/>
  <c r="I25" i="5"/>
  <c r="H25" i="5"/>
  <c r="G25" i="5"/>
  <c r="I21" i="5"/>
  <c r="H21" i="5"/>
  <c r="G21" i="5"/>
  <c r="I20" i="5"/>
  <c r="H20" i="5"/>
  <c r="G20" i="5"/>
  <c r="I19" i="5"/>
  <c r="H19" i="5"/>
  <c r="G19" i="5"/>
  <c r="I18" i="5"/>
  <c r="H18" i="5"/>
  <c r="G18" i="5"/>
  <c r="P125" i="7"/>
  <c r="K125" i="7"/>
  <c r="K124" i="7"/>
  <c r="F124" i="7"/>
  <c r="J49" i="4"/>
  <c r="I49" i="4"/>
  <c r="J48" i="4"/>
  <c r="I48" i="4"/>
  <c r="J47" i="4"/>
  <c r="I47" i="4"/>
  <c r="J46" i="4"/>
  <c r="I46" i="4"/>
  <c r="I42" i="4"/>
  <c r="I41" i="4"/>
  <c r="I40" i="4"/>
  <c r="I39" i="4"/>
  <c r="I38" i="4"/>
  <c r="I32" i="4"/>
  <c r="I31" i="4"/>
  <c r="I30" i="4"/>
  <c r="I29" i="4"/>
  <c r="I28" i="4"/>
  <c r="I27" i="4"/>
  <c r="I26" i="4"/>
  <c r="I25" i="4"/>
  <c r="D29" i="4"/>
  <c r="W22" i="2"/>
  <c r="W21" i="2"/>
  <c r="W20" i="2"/>
  <c r="W19" i="2"/>
  <c r="W18" i="2"/>
  <c r="W17" i="2"/>
  <c r="W16" i="2"/>
  <c r="W15" i="2"/>
  <c r="W14" i="2"/>
  <c r="W13" i="2"/>
  <c r="W12" i="2"/>
  <c r="W11" i="2"/>
  <c r="Q22" i="2"/>
  <c r="Q21" i="2"/>
  <c r="Q20" i="2"/>
  <c r="Q19" i="2"/>
  <c r="Q18" i="2"/>
  <c r="Q17" i="2"/>
  <c r="Q16" i="2"/>
  <c r="Q15" i="2"/>
  <c r="Q14" i="2"/>
  <c r="Q13" i="2"/>
  <c r="Q12" i="2"/>
  <c r="Q11" i="2"/>
  <c r="K22" i="2"/>
  <c r="K21" i="2"/>
  <c r="K20" i="2"/>
  <c r="K19" i="2"/>
  <c r="K18" i="2"/>
  <c r="K17" i="2"/>
  <c r="K16" i="2"/>
  <c r="K15" i="2"/>
  <c r="K14" i="2"/>
  <c r="K13" i="2"/>
  <c r="K12" i="2"/>
  <c r="K11" i="2"/>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X73" i="6"/>
  <c r="C22" i="2" l="1"/>
  <c r="O69" i="5"/>
  <c r="M69" i="5"/>
  <c r="W73" i="6"/>
  <c r="N69" i="5"/>
  <c r="V73" i="6"/>
  <c r="O41" i="4" l="1"/>
  <c r="N40" i="4"/>
  <c r="O40" i="4" s="1"/>
  <c r="P40" i="4" s="1"/>
  <c r="Q40" i="4" s="1"/>
  <c r="R40" i="4" s="1"/>
  <c r="S40" i="4" s="1"/>
  <c r="T40" i="4" s="1"/>
  <c r="U40" i="4" s="1"/>
  <c r="V40" i="4" s="1"/>
  <c r="W40" i="4" s="1"/>
  <c r="X40" i="4" s="1"/>
  <c r="Y40" i="4" s="1"/>
  <c r="Z40" i="4" s="1"/>
  <c r="AA40" i="4" s="1"/>
  <c r="D40" i="8"/>
  <c r="D36" i="4"/>
  <c r="D34" i="4"/>
  <c r="D33" i="4"/>
  <c r="Q38" i="2" l="1"/>
  <c r="Q37" i="2"/>
  <c r="Q36" i="2"/>
  <c r="Q35" i="2"/>
  <c r="Q34" i="2"/>
  <c r="Q33" i="2"/>
  <c r="Q32" i="2"/>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T73" i="7"/>
  <c r="T72" i="7"/>
  <c r="T71" i="7"/>
  <c r="T70" i="7"/>
  <c r="T69" i="7"/>
  <c r="T68" i="7"/>
  <c r="T67" i="7"/>
  <c r="T66" i="7"/>
  <c r="T65" i="7"/>
  <c r="T64" i="7"/>
  <c r="T63" i="7"/>
  <c r="T62" i="7"/>
  <c r="T61" i="7"/>
  <c r="T60" i="7"/>
  <c r="T59" i="7"/>
  <c r="T58" i="7"/>
  <c r="T57" i="7"/>
  <c r="T56" i="7"/>
  <c r="T55" i="7"/>
  <c r="T54" i="7"/>
  <c r="T53" i="7"/>
  <c r="T52" i="7"/>
  <c r="T51" i="7"/>
  <c r="T50" i="7"/>
  <c r="T49" i="7"/>
  <c r="T48" i="7"/>
  <c r="T47" i="7"/>
  <c r="T46" i="7"/>
  <c r="T45" i="7"/>
  <c r="T44" i="7"/>
  <c r="T43" i="7"/>
  <c r="T42" i="7"/>
  <c r="T41" i="7"/>
  <c r="T40" i="7"/>
  <c r="T39" i="7"/>
  <c r="T38" i="7"/>
  <c r="T37" i="7"/>
  <c r="T36" i="7"/>
  <c r="T35" i="7"/>
  <c r="T34" i="7"/>
  <c r="T33" i="7"/>
  <c r="T32" i="7"/>
  <c r="T31" i="7"/>
  <c r="T30" i="7"/>
  <c r="T29" i="7"/>
  <c r="T28" i="7"/>
  <c r="T27" i="7"/>
  <c r="T26" i="7"/>
  <c r="T25" i="7"/>
  <c r="T24" i="7"/>
  <c r="G124" i="7"/>
  <c r="F18" i="4"/>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J46" i="2"/>
  <c r="I46" i="2"/>
  <c r="H46" i="2"/>
  <c r="G46" i="2"/>
  <c r="F46" i="2"/>
  <c r="E46" i="2"/>
  <c r="D46" i="2"/>
  <c r="C46" i="2"/>
  <c r="J45" i="2"/>
  <c r="I45" i="2"/>
  <c r="H45" i="2"/>
  <c r="G45" i="2"/>
  <c r="F45" i="2"/>
  <c r="E45" i="2"/>
  <c r="D45" i="2"/>
  <c r="C45" i="2"/>
  <c r="J44" i="2"/>
  <c r="I44" i="2"/>
  <c r="H44" i="2"/>
  <c r="G44" i="2"/>
  <c r="F44" i="2"/>
  <c r="E44" i="2"/>
  <c r="D44" i="2"/>
  <c r="C44" i="2"/>
  <c r="J43" i="2"/>
  <c r="I43" i="2"/>
  <c r="H43" i="2"/>
  <c r="G43" i="2"/>
  <c r="F43" i="2"/>
  <c r="E43" i="2"/>
  <c r="D43" i="2"/>
  <c r="C43" i="2"/>
  <c r="J42" i="2"/>
  <c r="I42" i="2"/>
  <c r="H42" i="2"/>
  <c r="G42" i="2"/>
  <c r="F42" i="2"/>
  <c r="E42" i="2"/>
  <c r="D42" i="2"/>
  <c r="C42" i="2"/>
  <c r="J41" i="2"/>
  <c r="I41" i="2"/>
  <c r="H41" i="2"/>
  <c r="G41" i="2"/>
  <c r="F41" i="2"/>
  <c r="E41" i="2"/>
  <c r="D41" i="2"/>
  <c r="C41" i="2"/>
  <c r="J40" i="2"/>
  <c r="I40" i="2"/>
  <c r="H40" i="2"/>
  <c r="G40" i="2"/>
  <c r="F40" i="2"/>
  <c r="E40" i="2"/>
  <c r="D40" i="2"/>
  <c r="C40" i="2"/>
  <c r="J39" i="2"/>
  <c r="I39" i="2"/>
  <c r="H39" i="2"/>
  <c r="G39" i="2"/>
  <c r="F39" i="2"/>
  <c r="E39" i="2"/>
  <c r="D39" i="2"/>
  <c r="C39" i="2"/>
  <c r="J38" i="2"/>
  <c r="I38" i="2"/>
  <c r="H38" i="2"/>
  <c r="G38" i="2"/>
  <c r="F38" i="2"/>
  <c r="E38" i="2"/>
  <c r="D38" i="2"/>
  <c r="C38" i="2"/>
  <c r="J37" i="2"/>
  <c r="I37" i="2"/>
  <c r="H37" i="2"/>
  <c r="G37" i="2"/>
  <c r="F37" i="2"/>
  <c r="E37" i="2"/>
  <c r="D37" i="2"/>
  <c r="C37" i="2"/>
  <c r="J36" i="2"/>
  <c r="I36" i="2"/>
  <c r="H36" i="2"/>
  <c r="G36" i="2"/>
  <c r="F36" i="2"/>
  <c r="E36" i="2"/>
  <c r="D36" i="2"/>
  <c r="C36" i="2"/>
  <c r="J35" i="2"/>
  <c r="I35" i="2"/>
  <c r="H35" i="2"/>
  <c r="G35" i="2"/>
  <c r="F35" i="2"/>
  <c r="E35" i="2"/>
  <c r="D35" i="2"/>
  <c r="C35" i="2"/>
  <c r="J33" i="2"/>
  <c r="I33" i="2"/>
  <c r="H33" i="2"/>
  <c r="G33" i="2"/>
  <c r="F33" i="2"/>
  <c r="E33" i="2"/>
  <c r="D33" i="2"/>
  <c r="C33" i="2"/>
  <c r="J32" i="2"/>
  <c r="I32" i="2"/>
  <c r="H32" i="2"/>
  <c r="G32" i="2"/>
  <c r="F32" i="2"/>
  <c r="E32" i="2"/>
  <c r="D32" i="2"/>
  <c r="C32" i="2"/>
  <c r="J31" i="2"/>
  <c r="I31" i="2"/>
  <c r="H31" i="2"/>
  <c r="G31" i="2"/>
  <c r="F31" i="2"/>
  <c r="E31" i="2"/>
  <c r="D31" i="2"/>
  <c r="C31" i="2"/>
  <c r="J30" i="2"/>
  <c r="I30" i="2"/>
  <c r="H30" i="2"/>
  <c r="G30" i="2"/>
  <c r="F30" i="2"/>
  <c r="E30" i="2"/>
  <c r="D30" i="2"/>
  <c r="C30" i="2"/>
  <c r="J29" i="2"/>
  <c r="I29" i="2"/>
  <c r="H29" i="2"/>
  <c r="G29" i="2"/>
  <c r="F29" i="2"/>
  <c r="E29" i="2"/>
  <c r="D29" i="2"/>
  <c r="C29" i="2"/>
  <c r="P24" i="7" l="1"/>
  <c r="P25" i="7"/>
  <c r="X123" i="7"/>
  <c r="X122" i="7"/>
  <c r="X121" i="7"/>
  <c r="X120" i="7"/>
  <c r="X119" i="7"/>
  <c r="X118" i="7"/>
  <c r="X117" i="7"/>
  <c r="X116" i="7"/>
  <c r="X115" i="7"/>
  <c r="X114" i="7"/>
  <c r="X113" i="7"/>
  <c r="X112" i="7"/>
  <c r="X111" i="7"/>
  <c r="X110" i="7"/>
  <c r="X109" i="7"/>
  <c r="X108" i="7"/>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M19" i="4"/>
  <c r="L19" i="4"/>
  <c r="K19" i="4"/>
  <c r="J19" i="4"/>
  <c r="N18" i="4"/>
  <c r="M18" i="4"/>
  <c r="L18" i="4"/>
  <c r="K18" i="4"/>
  <c r="J18" i="4"/>
  <c r="N17" i="4"/>
  <c r="M17" i="4"/>
  <c r="L17" i="4"/>
  <c r="K17" i="4"/>
  <c r="J17" i="4"/>
  <c r="M24" i="4"/>
  <c r="N24" i="4"/>
  <c r="O24" i="4"/>
  <c r="M25" i="4"/>
  <c r="N25" i="4"/>
  <c r="O25" i="4"/>
  <c r="M26" i="4"/>
  <c r="N26" i="4"/>
  <c r="O26" i="4"/>
  <c r="M27" i="4"/>
  <c r="N27" i="4"/>
  <c r="O27" i="4"/>
  <c r="W71" i="6"/>
  <c r="P124" i="7" l="1"/>
  <c r="H28" i="4"/>
  <c r="H27" i="4"/>
  <c r="H40" i="4"/>
  <c r="H41" i="4"/>
  <c r="H26" i="4"/>
  <c r="H25" i="4"/>
  <c r="H39" i="4"/>
  <c r="H38" i="4"/>
  <c r="H37" i="4"/>
  <c r="H36" i="4"/>
  <c r="H31" i="4"/>
  <c r="H30" i="4"/>
  <c r="H29" i="4"/>
  <c r="N68" i="5"/>
  <c r="W70" i="6"/>
  <c r="O68" i="5"/>
  <c r="M68" i="5"/>
  <c r="W123" i="7"/>
  <c r="W122" i="7"/>
  <c r="W121" i="7"/>
  <c r="W120" i="7"/>
  <c r="W119" i="7"/>
  <c r="W118" i="7"/>
  <c r="W117" i="7"/>
  <c r="W116" i="7"/>
  <c r="W115" i="7"/>
  <c r="W114" i="7"/>
  <c r="W113" i="7"/>
  <c r="W112" i="7"/>
  <c r="W111" i="7"/>
  <c r="W110" i="7"/>
  <c r="W109" i="7"/>
  <c r="W108" i="7"/>
  <c r="W107" i="7"/>
  <c r="W106" i="7"/>
  <c r="W105" i="7"/>
  <c r="W104" i="7"/>
  <c r="W103" i="7"/>
  <c r="W102" i="7"/>
  <c r="W101" i="7"/>
  <c r="W100" i="7"/>
  <c r="W99" i="7"/>
  <c r="W98" i="7"/>
  <c r="W97" i="7"/>
  <c r="W96" i="7"/>
  <c r="W95" i="7"/>
  <c r="W94" i="7"/>
  <c r="W93" i="7"/>
  <c r="W92" i="7"/>
  <c r="W91" i="7"/>
  <c r="W90" i="7"/>
  <c r="W89" i="7"/>
  <c r="W88" i="7"/>
  <c r="W87" i="7"/>
  <c r="W86" i="7"/>
  <c r="W85" i="7"/>
  <c r="W84" i="7"/>
  <c r="W83" i="7"/>
  <c r="W82" i="7"/>
  <c r="W81" i="7"/>
  <c r="W80" i="7"/>
  <c r="W79" i="7"/>
  <c r="W78" i="7"/>
  <c r="W77" i="7"/>
  <c r="W76" i="7"/>
  <c r="W75" i="7"/>
  <c r="W74" i="7"/>
  <c r="W73" i="7"/>
  <c r="W72" i="7"/>
  <c r="W71" i="7"/>
  <c r="W70" i="7"/>
  <c r="W69" i="7"/>
  <c r="W68" i="7"/>
  <c r="W67" i="7"/>
  <c r="W66" i="7"/>
  <c r="W65" i="7"/>
  <c r="W64" i="7"/>
  <c r="W63" i="7"/>
  <c r="W62" i="7"/>
  <c r="W61" i="7"/>
  <c r="W60" i="7"/>
  <c r="W59" i="7"/>
  <c r="W58" i="7"/>
  <c r="W57" i="7"/>
  <c r="W56" i="7"/>
  <c r="W55" i="7"/>
  <c r="W54" i="7"/>
  <c r="W53" i="7"/>
  <c r="W52" i="7"/>
  <c r="W51" i="7"/>
  <c r="W50" i="7"/>
  <c r="W49" i="7"/>
  <c r="W48" i="7"/>
  <c r="W47" i="7"/>
  <c r="W46" i="7"/>
  <c r="W45" i="7"/>
  <c r="W44" i="7"/>
  <c r="W43" i="7"/>
  <c r="W42" i="7"/>
  <c r="W41" i="7"/>
  <c r="W40" i="7"/>
  <c r="W39" i="7"/>
  <c r="W38" i="7"/>
  <c r="W37" i="7"/>
  <c r="W36" i="7"/>
  <c r="W35" i="7"/>
  <c r="W34" i="7"/>
  <c r="W33" i="7"/>
  <c r="W32" i="7"/>
  <c r="W31" i="7"/>
  <c r="W30" i="7"/>
  <c r="W29" i="7"/>
  <c r="W28" i="7"/>
  <c r="W27" i="7"/>
  <c r="W26" i="7"/>
  <c r="W25" i="7"/>
  <c r="W24" i="7"/>
  <c r="I36" i="4" l="1"/>
  <c r="I37" i="4"/>
  <c r="F111" i="6"/>
  <c r="F104" i="6"/>
  <c r="F92" i="6"/>
  <c r="F82" i="6"/>
  <c r="F70" i="6"/>
  <c r="F65" i="6"/>
  <c r="F56" i="6"/>
  <c r="F31" i="6"/>
  <c r="F20" i="6"/>
  <c r="F112" i="5"/>
  <c r="F93" i="5"/>
  <c r="F83" i="5"/>
  <c r="F115" i="6" l="1"/>
  <c r="F34" i="6"/>
  <c r="F35" i="6"/>
  <c r="F36" i="6" l="1"/>
  <c r="F37" i="6" s="1"/>
  <c r="P57" i="6"/>
  <c r="F38" i="6" l="1"/>
  <c r="F39" i="6" s="1"/>
  <c r="F40" i="6" l="1"/>
  <c r="F43" i="6" l="1"/>
  <c r="F45" i="6" l="1"/>
  <c r="P56" i="6" s="1"/>
  <c r="F117" i="6" l="1"/>
  <c r="R124" i="7" l="1"/>
  <c r="H124" i="7"/>
  <c r="V123" i="7"/>
  <c r="S123" i="7"/>
  <c r="I123" i="7"/>
  <c r="V122" i="7"/>
  <c r="S122" i="7"/>
  <c r="I122" i="7"/>
  <c r="V121" i="7"/>
  <c r="S121" i="7"/>
  <c r="I121" i="7"/>
  <c r="V120" i="7"/>
  <c r="S120" i="7"/>
  <c r="I120" i="7"/>
  <c r="V119" i="7"/>
  <c r="S119" i="7"/>
  <c r="I119" i="7"/>
  <c r="V118" i="7"/>
  <c r="S118" i="7"/>
  <c r="I118" i="7"/>
  <c r="V117" i="7"/>
  <c r="S117" i="7"/>
  <c r="I117" i="7"/>
  <c r="V116" i="7"/>
  <c r="S116" i="7"/>
  <c r="I116" i="7"/>
  <c r="V115" i="7"/>
  <c r="S115" i="7"/>
  <c r="I115" i="7"/>
  <c r="V114" i="7"/>
  <c r="S114" i="7"/>
  <c r="I114" i="7"/>
  <c r="Z113" i="7"/>
  <c r="AC113" i="7" s="1"/>
  <c r="V113" i="7"/>
  <c r="S113" i="7"/>
  <c r="I113" i="7"/>
  <c r="V112" i="7"/>
  <c r="S112" i="7"/>
  <c r="I112" i="7"/>
  <c r="V111" i="7"/>
  <c r="S111" i="7"/>
  <c r="I111" i="7"/>
  <c r="V110" i="7"/>
  <c r="S110" i="7"/>
  <c r="I110" i="7"/>
  <c r="V109" i="7"/>
  <c r="S109" i="7"/>
  <c r="I109" i="7"/>
  <c r="V108" i="7"/>
  <c r="S108" i="7"/>
  <c r="I108" i="7"/>
  <c r="V107" i="7"/>
  <c r="S107" i="7"/>
  <c r="I107" i="7"/>
  <c r="V106" i="7"/>
  <c r="S106" i="7"/>
  <c r="I106" i="7"/>
  <c r="V105" i="7"/>
  <c r="S105" i="7"/>
  <c r="I105" i="7"/>
  <c r="V104" i="7"/>
  <c r="S104" i="7"/>
  <c r="I104" i="7"/>
  <c r="V103" i="7"/>
  <c r="S103" i="7"/>
  <c r="I103" i="7"/>
  <c r="V102" i="7"/>
  <c r="S102" i="7"/>
  <c r="I102" i="7"/>
  <c r="V101" i="7"/>
  <c r="S101" i="7"/>
  <c r="I101" i="7"/>
  <c r="V100" i="7"/>
  <c r="S100" i="7"/>
  <c r="I100" i="7"/>
  <c r="V99" i="7"/>
  <c r="S99" i="7"/>
  <c r="I99" i="7"/>
  <c r="V98" i="7"/>
  <c r="S98" i="7"/>
  <c r="I98" i="7"/>
  <c r="V97" i="7"/>
  <c r="S97" i="7"/>
  <c r="I97" i="7"/>
  <c r="V96" i="7"/>
  <c r="S96" i="7"/>
  <c r="I96" i="7"/>
  <c r="V95" i="7"/>
  <c r="S95" i="7"/>
  <c r="I95" i="7"/>
  <c r="V94" i="7"/>
  <c r="S94" i="7"/>
  <c r="I94" i="7"/>
  <c r="V93" i="7"/>
  <c r="S93" i="7"/>
  <c r="I93" i="7"/>
  <c r="V92" i="7"/>
  <c r="S92" i="7"/>
  <c r="I92" i="7"/>
  <c r="V91" i="7"/>
  <c r="S91" i="7"/>
  <c r="I91" i="7"/>
  <c r="V90" i="7"/>
  <c r="S90" i="7"/>
  <c r="I90" i="7"/>
  <c r="V89" i="7"/>
  <c r="S89" i="7"/>
  <c r="I89" i="7"/>
  <c r="V88" i="7"/>
  <c r="S88" i="7"/>
  <c r="I88" i="7"/>
  <c r="V87" i="7"/>
  <c r="S87" i="7"/>
  <c r="I87" i="7"/>
  <c r="V86" i="7"/>
  <c r="S86" i="7"/>
  <c r="I86" i="7"/>
  <c r="V85" i="7"/>
  <c r="S85" i="7"/>
  <c r="I85" i="7"/>
  <c r="V84" i="7"/>
  <c r="S84" i="7"/>
  <c r="I84" i="7"/>
  <c r="V83" i="7"/>
  <c r="S83" i="7"/>
  <c r="I83" i="7"/>
  <c r="V82" i="7"/>
  <c r="S82" i="7"/>
  <c r="I82" i="7"/>
  <c r="V81" i="7"/>
  <c r="S81" i="7"/>
  <c r="I81" i="7"/>
  <c r="V80" i="7"/>
  <c r="S80" i="7"/>
  <c r="I80" i="7"/>
  <c r="V79" i="7"/>
  <c r="S79" i="7"/>
  <c r="I79" i="7"/>
  <c r="V78" i="7"/>
  <c r="S78" i="7"/>
  <c r="I78" i="7"/>
  <c r="V77" i="7"/>
  <c r="S77" i="7"/>
  <c r="I77" i="7"/>
  <c r="V76" i="7"/>
  <c r="S76" i="7"/>
  <c r="I76" i="7"/>
  <c r="V75" i="7"/>
  <c r="S75" i="7"/>
  <c r="I75" i="7"/>
  <c r="V74" i="7"/>
  <c r="S74" i="7"/>
  <c r="I74" i="7"/>
  <c r="V73" i="7"/>
  <c r="S73" i="7"/>
  <c r="I73" i="7"/>
  <c r="V72" i="7"/>
  <c r="S72" i="7"/>
  <c r="I72" i="7"/>
  <c r="V71" i="7"/>
  <c r="S71" i="7"/>
  <c r="I71" i="7"/>
  <c r="V70" i="7"/>
  <c r="S70" i="7"/>
  <c r="I70" i="7"/>
  <c r="V69" i="7"/>
  <c r="S69" i="7"/>
  <c r="I69" i="7"/>
  <c r="V68" i="7"/>
  <c r="S68" i="7"/>
  <c r="I68" i="7"/>
  <c r="V67" i="7"/>
  <c r="S67" i="7"/>
  <c r="I67" i="7"/>
  <c r="V66" i="7"/>
  <c r="S66" i="7"/>
  <c r="I66" i="7"/>
  <c r="V65" i="7"/>
  <c r="S65" i="7"/>
  <c r="I65" i="7"/>
  <c r="V64" i="7"/>
  <c r="S64" i="7"/>
  <c r="I64" i="7"/>
  <c r="V63" i="7"/>
  <c r="S63" i="7"/>
  <c r="I63" i="7"/>
  <c r="V62" i="7"/>
  <c r="S62" i="7"/>
  <c r="I62" i="7"/>
  <c r="V61" i="7"/>
  <c r="S61" i="7"/>
  <c r="I61" i="7"/>
  <c r="V60" i="7"/>
  <c r="S60" i="7"/>
  <c r="I60" i="7"/>
  <c r="V59" i="7"/>
  <c r="S59" i="7"/>
  <c r="I59" i="7"/>
  <c r="V58" i="7"/>
  <c r="S58" i="7"/>
  <c r="I58" i="7"/>
  <c r="V57" i="7"/>
  <c r="S57" i="7"/>
  <c r="I57" i="7"/>
  <c r="V56" i="7"/>
  <c r="S56" i="7"/>
  <c r="I56" i="7"/>
  <c r="V55" i="7"/>
  <c r="S55" i="7"/>
  <c r="I55" i="7"/>
  <c r="V54" i="7"/>
  <c r="S54" i="7"/>
  <c r="I54" i="7"/>
  <c r="V53" i="7"/>
  <c r="S53" i="7"/>
  <c r="I53" i="7"/>
  <c r="V52" i="7"/>
  <c r="S52" i="7"/>
  <c r="I52" i="7"/>
  <c r="V51" i="7"/>
  <c r="S51" i="7"/>
  <c r="I51" i="7"/>
  <c r="V50" i="7"/>
  <c r="S50" i="7"/>
  <c r="I50" i="7"/>
  <c r="V49" i="7"/>
  <c r="S49" i="7"/>
  <c r="I49" i="7"/>
  <c r="V48" i="7"/>
  <c r="S48" i="7"/>
  <c r="I48" i="7"/>
  <c r="V47" i="7"/>
  <c r="S47" i="7"/>
  <c r="I47" i="7"/>
  <c r="V46" i="7"/>
  <c r="S46" i="7"/>
  <c r="I46" i="7"/>
  <c r="V45" i="7"/>
  <c r="S45" i="7"/>
  <c r="I45" i="7"/>
  <c r="V44" i="7"/>
  <c r="S44" i="7"/>
  <c r="I44" i="7"/>
  <c r="V43" i="7"/>
  <c r="S43" i="7"/>
  <c r="I43" i="7"/>
  <c r="V42" i="7"/>
  <c r="S42" i="7"/>
  <c r="I42" i="7"/>
  <c r="V41" i="7"/>
  <c r="S41" i="7"/>
  <c r="I41" i="7"/>
  <c r="V40" i="7"/>
  <c r="S40" i="7"/>
  <c r="I40" i="7"/>
  <c r="V39" i="7"/>
  <c r="S39" i="7"/>
  <c r="I39" i="7"/>
  <c r="V38" i="7"/>
  <c r="S38" i="7"/>
  <c r="I38" i="7"/>
  <c r="V37" i="7"/>
  <c r="S37" i="7"/>
  <c r="I37" i="7"/>
  <c r="V36" i="7"/>
  <c r="S36" i="7"/>
  <c r="I36" i="7"/>
  <c r="V35" i="7"/>
  <c r="S35" i="7"/>
  <c r="I35" i="7"/>
  <c r="V34" i="7"/>
  <c r="S34" i="7"/>
  <c r="I34" i="7"/>
  <c r="V33" i="7"/>
  <c r="S33" i="7"/>
  <c r="I33" i="7"/>
  <c r="V32" i="7"/>
  <c r="S32" i="7"/>
  <c r="I32" i="7"/>
  <c r="V31" i="7"/>
  <c r="S31" i="7"/>
  <c r="I31" i="7"/>
  <c r="V30" i="7"/>
  <c r="S30" i="7"/>
  <c r="I30" i="7"/>
  <c r="V29" i="7"/>
  <c r="S29" i="7"/>
  <c r="I29" i="7"/>
  <c r="V28" i="7"/>
  <c r="S28" i="7"/>
  <c r="I28" i="7"/>
  <c r="V27" i="7"/>
  <c r="S27" i="7"/>
  <c r="I27" i="7"/>
  <c r="V26" i="7"/>
  <c r="S26" i="7"/>
  <c r="I26" i="7"/>
  <c r="V25" i="7"/>
  <c r="S25" i="7"/>
  <c r="I25" i="7"/>
  <c r="V24" i="7"/>
  <c r="S24" i="7"/>
  <c r="I24" i="7"/>
  <c r="Q35" i="4"/>
  <c r="P35" i="4"/>
  <c r="O35" i="4"/>
  <c r="N35" i="4"/>
  <c r="M35" i="4"/>
  <c r="Q34" i="4"/>
  <c r="P34" i="4"/>
  <c r="O34" i="4"/>
  <c r="N34" i="4"/>
  <c r="M34" i="4"/>
  <c r="Q33" i="4"/>
  <c r="P33" i="4"/>
  <c r="O33" i="4"/>
  <c r="N33" i="4"/>
  <c r="M33" i="4"/>
  <c r="Q32" i="4"/>
  <c r="P32" i="4"/>
  <c r="O32" i="4"/>
  <c r="N32" i="4"/>
  <c r="M32" i="4"/>
  <c r="Q31" i="4"/>
  <c r="P31" i="4"/>
  <c r="O31" i="4"/>
  <c r="N31" i="4"/>
  <c r="M31" i="4"/>
  <c r="Q30" i="4"/>
  <c r="P30" i="4"/>
  <c r="O30" i="4"/>
  <c r="N30" i="4"/>
  <c r="M30" i="4"/>
  <c r="Q29" i="4"/>
  <c r="P29" i="4"/>
  <c r="O29" i="4"/>
  <c r="N29" i="4"/>
  <c r="M29" i="4"/>
  <c r="Q28" i="4"/>
  <c r="P28" i="4"/>
  <c r="O28" i="4"/>
  <c r="N28" i="4"/>
  <c r="M28" i="4"/>
  <c r="Q27" i="4"/>
  <c r="P27" i="4"/>
  <c r="Q26" i="4"/>
  <c r="P26" i="4"/>
  <c r="Q25" i="4"/>
  <c r="P25" i="4"/>
  <c r="Q24" i="4"/>
  <c r="P24" i="4"/>
  <c r="D42" i="4" l="1"/>
  <c r="H14" i="4"/>
  <c r="AB113" i="7"/>
  <c r="AE113" i="7"/>
  <c r="AF113" i="7" s="1"/>
  <c r="D37" i="4"/>
  <c r="G125" i="7"/>
  <c r="D40" i="4" s="1"/>
  <c r="N75" i="5"/>
  <c r="M75" i="5"/>
  <c r="Z37" i="7"/>
  <c r="AC37" i="7" s="1"/>
  <c r="Z49" i="7"/>
  <c r="AC49" i="7" s="1"/>
  <c r="Z73" i="7"/>
  <c r="AC73" i="7" s="1"/>
  <c r="Z85" i="7"/>
  <c r="AC85" i="7" s="1"/>
  <c r="Z97" i="7"/>
  <c r="AC97" i="7" s="1"/>
  <c r="Z70" i="7"/>
  <c r="AC70" i="7" s="1"/>
  <c r="Z43" i="7"/>
  <c r="AC43" i="7" s="1"/>
  <c r="Z123" i="7"/>
  <c r="AC123" i="7" s="1"/>
  <c r="Z47" i="7"/>
  <c r="AC47" i="7" s="1"/>
  <c r="Z76" i="7"/>
  <c r="AC76" i="7" s="1"/>
  <c r="R35" i="4"/>
  <c r="R25" i="4"/>
  <c r="R30" i="4"/>
  <c r="R28" i="4"/>
  <c r="R33" i="4"/>
  <c r="R26" i="4"/>
  <c r="R32" i="4"/>
  <c r="R31" i="4"/>
  <c r="R24" i="4"/>
  <c r="R29" i="4"/>
  <c r="R34" i="4"/>
  <c r="R27" i="4"/>
  <c r="Z119" i="7"/>
  <c r="AC119" i="7" s="1"/>
  <c r="Z101" i="7"/>
  <c r="AC101" i="7" s="1"/>
  <c r="Z40" i="7"/>
  <c r="AC40" i="7" s="1"/>
  <c r="Z79" i="7"/>
  <c r="AC79" i="7" s="1"/>
  <c r="Z118" i="7"/>
  <c r="AC118" i="7" s="1"/>
  <c r="Z52" i="7"/>
  <c r="AC52" i="7" s="1"/>
  <c r="Z115" i="7"/>
  <c r="AC115" i="7" s="1"/>
  <c r="Z59" i="7"/>
  <c r="AC59" i="7" s="1"/>
  <c r="Z107" i="7"/>
  <c r="AC107" i="7" s="1"/>
  <c r="Z35" i="7"/>
  <c r="AC35" i="7" s="1"/>
  <c r="Z55" i="7"/>
  <c r="AC55" i="7" s="1"/>
  <c r="Z83" i="7"/>
  <c r="AC83" i="7" s="1"/>
  <c r="Z93" i="7"/>
  <c r="AC93" i="7" s="1"/>
  <c r="Z103" i="7"/>
  <c r="AC103" i="7" s="1"/>
  <c r="X124" i="7"/>
  <c r="Z100" i="7"/>
  <c r="AC100" i="7" s="1"/>
  <c r="Z34" i="7"/>
  <c r="AC34" i="7" s="1"/>
  <c r="Z67" i="7"/>
  <c r="AC67" i="7" s="1"/>
  <c r="Z82" i="7"/>
  <c r="AC82" i="7" s="1"/>
  <c r="Z95" i="7"/>
  <c r="AC95" i="7" s="1"/>
  <c r="Z105" i="7"/>
  <c r="AC105" i="7" s="1"/>
  <c r="Z64" i="7"/>
  <c r="AC64" i="7" s="1"/>
  <c r="Z112" i="7"/>
  <c r="AC112" i="7" s="1"/>
  <c r="Z46" i="7"/>
  <c r="AC46" i="7" s="1"/>
  <c r="Z94" i="7"/>
  <c r="AC94" i="7" s="1"/>
  <c r="Z61" i="7"/>
  <c r="AC61" i="7" s="1"/>
  <c r="Z91" i="7"/>
  <c r="AC91" i="7" s="1"/>
  <c r="Z117" i="7"/>
  <c r="AC117" i="7" s="1"/>
  <c r="Z58" i="7"/>
  <c r="AC58" i="7" s="1"/>
  <c r="Z71" i="7"/>
  <c r="AC71" i="7" s="1"/>
  <c r="Z81" i="7"/>
  <c r="AC81" i="7" s="1"/>
  <c r="Z109" i="7"/>
  <c r="AC109" i="7" s="1"/>
  <c r="Z88" i="7"/>
  <c r="AC88" i="7" s="1"/>
  <c r="Z106" i="7"/>
  <c r="AC106" i="7" s="1"/>
  <c r="AA113" i="7"/>
  <c r="Z42" i="7"/>
  <c r="AC42" i="7" s="1"/>
  <c r="Z54" i="7"/>
  <c r="AC54" i="7" s="1"/>
  <c r="Z66" i="7"/>
  <c r="AC66" i="7" s="1"/>
  <c r="Z78" i="7"/>
  <c r="AC78" i="7" s="1"/>
  <c r="Z90" i="7"/>
  <c r="AC90" i="7" s="1"/>
  <c r="Z102" i="7"/>
  <c r="AC102" i="7" s="1"/>
  <c r="Z114" i="7"/>
  <c r="AC114" i="7" s="1"/>
  <c r="Z121" i="7"/>
  <c r="AC121" i="7" s="1"/>
  <c r="Z41" i="7"/>
  <c r="AC41" i="7" s="1"/>
  <c r="Z53" i="7"/>
  <c r="AC53" i="7" s="1"/>
  <c r="Z65" i="7"/>
  <c r="AC65" i="7" s="1"/>
  <c r="Z77" i="7"/>
  <c r="AC77" i="7" s="1"/>
  <c r="Z89" i="7"/>
  <c r="AC89" i="7" s="1"/>
  <c r="Z33" i="7"/>
  <c r="AC33" i="7" s="1"/>
  <c r="Z45" i="7"/>
  <c r="AC45" i="7" s="1"/>
  <c r="Z57" i="7"/>
  <c r="AC57" i="7" s="1"/>
  <c r="Z69" i="7"/>
  <c r="AC69" i="7" s="1"/>
  <c r="Z120" i="7"/>
  <c r="AC120" i="7" s="1"/>
  <c r="T124" i="7"/>
  <c r="Z36" i="7"/>
  <c r="AC36" i="7" s="1"/>
  <c r="Z48" i="7"/>
  <c r="AC48" i="7" s="1"/>
  <c r="Z60" i="7"/>
  <c r="AC60" i="7" s="1"/>
  <c r="Z72" i="7"/>
  <c r="AC72" i="7" s="1"/>
  <c r="Z84" i="7"/>
  <c r="AC84" i="7" s="1"/>
  <c r="Z96" i="7"/>
  <c r="AC96" i="7" s="1"/>
  <c r="Z108" i="7"/>
  <c r="AC108" i="7" s="1"/>
  <c r="S124" i="7"/>
  <c r="W124" i="7"/>
  <c r="Z39" i="7"/>
  <c r="AC39" i="7" s="1"/>
  <c r="Z51" i="7"/>
  <c r="AC51" i="7" s="1"/>
  <c r="Z63" i="7"/>
  <c r="AC63" i="7" s="1"/>
  <c r="Z75" i="7"/>
  <c r="AC75" i="7" s="1"/>
  <c r="Z87" i="7"/>
  <c r="AC87" i="7" s="1"/>
  <c r="Z99" i="7"/>
  <c r="AC99" i="7" s="1"/>
  <c r="Z111" i="7"/>
  <c r="AC111" i="7" s="1"/>
  <c r="I124" i="7"/>
  <c r="D35" i="4" s="1"/>
  <c r="U124" i="7"/>
  <c r="V124" i="7" s="1"/>
  <c r="Z32" i="7"/>
  <c r="AC32" i="7" s="1"/>
  <c r="Z38" i="7"/>
  <c r="AC38" i="7" s="1"/>
  <c r="Z44" i="7"/>
  <c r="AC44" i="7" s="1"/>
  <c r="Z50" i="7"/>
  <c r="AC50" i="7" s="1"/>
  <c r="Z56" i="7"/>
  <c r="AC56" i="7" s="1"/>
  <c r="Z62" i="7"/>
  <c r="AC62" i="7" s="1"/>
  <c r="Z68" i="7"/>
  <c r="AC68" i="7" s="1"/>
  <c r="Z74" i="7"/>
  <c r="AC74" i="7" s="1"/>
  <c r="Z80" i="7"/>
  <c r="AC80" i="7" s="1"/>
  <c r="Z86" i="7"/>
  <c r="AC86" i="7" s="1"/>
  <c r="Z92" i="7"/>
  <c r="AC92" i="7" s="1"/>
  <c r="Z98" i="7"/>
  <c r="AC98" i="7" s="1"/>
  <c r="Z104" i="7"/>
  <c r="AC104" i="7" s="1"/>
  <c r="Z110" i="7"/>
  <c r="AC110" i="7" s="1"/>
  <c r="Z116" i="7"/>
  <c r="AC116" i="7" s="1"/>
  <c r="Z122" i="7"/>
  <c r="AC122" i="7" s="1"/>
  <c r="D32" i="4"/>
  <c r="M36" i="4"/>
  <c r="N36" i="4"/>
  <c r="O36" i="4"/>
  <c r="P36" i="4"/>
  <c r="Q36" i="4"/>
  <c r="X30" i="6" l="1"/>
  <c r="X31" i="6"/>
  <c r="X25" i="6"/>
  <c r="X33" i="6"/>
  <c r="X26" i="6"/>
  <c r="X27" i="6"/>
  <c r="X29" i="6"/>
  <c r="X34" i="6"/>
  <c r="X24" i="6"/>
  <c r="X28" i="6"/>
  <c r="AE115" i="7"/>
  <c r="AF115" i="7" s="1"/>
  <c r="AE58" i="7"/>
  <c r="AF58" i="7" s="1"/>
  <c r="AE40" i="7"/>
  <c r="AF40" i="7" s="1"/>
  <c r="AE120" i="7"/>
  <c r="AF120" i="7" s="1"/>
  <c r="AD94" i="7"/>
  <c r="AD83" i="7"/>
  <c r="AE47" i="7"/>
  <c r="AF47" i="7" s="1"/>
  <c r="AE82" i="7"/>
  <c r="AF82" i="7" s="1"/>
  <c r="AE34" i="7"/>
  <c r="AF34" i="7" s="1"/>
  <c r="AE112" i="7"/>
  <c r="AF112" i="7" s="1"/>
  <c r="AE107" i="7"/>
  <c r="AF107" i="7" s="1"/>
  <c r="AD100" i="7"/>
  <c r="AE61" i="7"/>
  <c r="AF61" i="7" s="1"/>
  <c r="AE64" i="7"/>
  <c r="AF64" i="7" s="1"/>
  <c r="AE35" i="7"/>
  <c r="AF35" i="7" s="1"/>
  <c r="AE95" i="7"/>
  <c r="AF95" i="7" s="1"/>
  <c r="AD59" i="7"/>
  <c r="AE71" i="7"/>
  <c r="AF71" i="7" s="1"/>
  <c r="AE67" i="7"/>
  <c r="AF67" i="7" s="1"/>
  <c r="D41" i="4"/>
  <c r="H16" i="4"/>
  <c r="AD35" i="7"/>
  <c r="AB36" i="7"/>
  <c r="AB110" i="7"/>
  <c r="AB38" i="7"/>
  <c r="AB104" i="7"/>
  <c r="AB68" i="7"/>
  <c r="AB32" i="7"/>
  <c r="AB96" i="7"/>
  <c r="AB69" i="7"/>
  <c r="AB117" i="7"/>
  <c r="AB118" i="7"/>
  <c r="AE118" i="7"/>
  <c r="AF118" i="7" s="1"/>
  <c r="AD47" i="7"/>
  <c r="AB116" i="7"/>
  <c r="AB81" i="7"/>
  <c r="AB114" i="7"/>
  <c r="AB52" i="7"/>
  <c r="AE52" i="7"/>
  <c r="AF52" i="7" s="1"/>
  <c r="AB79" i="7"/>
  <c r="AB45" i="7"/>
  <c r="AB103" i="7"/>
  <c r="AB97" i="7"/>
  <c r="AD95" i="7"/>
  <c r="AB99" i="7"/>
  <c r="AD61" i="7"/>
  <c r="AB33" i="7"/>
  <c r="AB90" i="7"/>
  <c r="AB93" i="7"/>
  <c r="AB101" i="7"/>
  <c r="AE101" i="7"/>
  <c r="AF101" i="7" s="1"/>
  <c r="AB85" i="7"/>
  <c r="AB80" i="7"/>
  <c r="AB44" i="7"/>
  <c r="AB39" i="7"/>
  <c r="AB41" i="7"/>
  <c r="AB109" i="7"/>
  <c r="AB54" i="7"/>
  <c r="AB98" i="7"/>
  <c r="AB62" i="7"/>
  <c r="AB111" i="7"/>
  <c r="AB72" i="7"/>
  <c r="AB92" i="7"/>
  <c r="AB56" i="7"/>
  <c r="AB87" i="7"/>
  <c r="AB60" i="7"/>
  <c r="AB89" i="7"/>
  <c r="AB46" i="7"/>
  <c r="AE46" i="7"/>
  <c r="AF46" i="7" s="1"/>
  <c r="AB119" i="7"/>
  <c r="AB73" i="7"/>
  <c r="AB76" i="7"/>
  <c r="AE76" i="7"/>
  <c r="AF76" i="7" s="1"/>
  <c r="AB74" i="7"/>
  <c r="AB70" i="7"/>
  <c r="AE70" i="7"/>
  <c r="AF70" i="7" s="1"/>
  <c r="AB55" i="7"/>
  <c r="AB49" i="7"/>
  <c r="AB123" i="7"/>
  <c r="AD115" i="7"/>
  <c r="AB43" i="7"/>
  <c r="AB108" i="7"/>
  <c r="AB42" i="7"/>
  <c r="AB84" i="7"/>
  <c r="AB102" i="7"/>
  <c r="AB91" i="7"/>
  <c r="AB75" i="7"/>
  <c r="AB77" i="7"/>
  <c r="AB78" i="7"/>
  <c r="AB106" i="7"/>
  <c r="AE106" i="7"/>
  <c r="AF106" i="7" s="1"/>
  <c r="AB86" i="7"/>
  <c r="AB50" i="7"/>
  <c r="AB63" i="7"/>
  <c r="AB48" i="7"/>
  <c r="AB65" i="7"/>
  <c r="AD67" i="7"/>
  <c r="AB37" i="7"/>
  <c r="AB121" i="7"/>
  <c r="AB57" i="7"/>
  <c r="AB122" i="7"/>
  <c r="AB51" i="7"/>
  <c r="AB53" i="7"/>
  <c r="AB66" i="7"/>
  <c r="AB88" i="7"/>
  <c r="AE88" i="7"/>
  <c r="AF88" i="7" s="1"/>
  <c r="AB105" i="7"/>
  <c r="E30" i="8"/>
  <c r="E18" i="8"/>
  <c r="E17" i="8"/>
  <c r="E15" i="8"/>
  <c r="E36" i="8"/>
  <c r="E29" i="8"/>
  <c r="E25" i="8"/>
  <c r="E23" i="8"/>
  <c r="E22" i="8"/>
  <c r="E28" i="8"/>
  <c r="E16" i="8"/>
  <c r="E27" i="8"/>
  <c r="E37" i="8"/>
  <c r="E24" i="8"/>
  <c r="E35" i="8"/>
  <c r="E39" i="8"/>
  <c r="E21" i="8"/>
  <c r="E32" i="8"/>
  <c r="E20" i="8"/>
  <c r="E31" i="8"/>
  <c r="E38" i="8"/>
  <c r="E26" i="8"/>
  <c r="E33" i="8"/>
  <c r="E34" i="8"/>
  <c r="E19" i="8"/>
  <c r="AA73" i="7"/>
  <c r="AA49" i="7"/>
  <c r="AA85" i="7"/>
  <c r="AA97" i="7"/>
  <c r="AA103" i="7"/>
  <c r="AD113" i="7"/>
  <c r="AA37" i="7"/>
  <c r="AA118" i="7"/>
  <c r="AA46" i="7"/>
  <c r="AA79" i="7"/>
  <c r="AA117" i="7"/>
  <c r="AA43" i="7"/>
  <c r="AA76" i="7"/>
  <c r="AA123" i="7"/>
  <c r="AA45" i="7"/>
  <c r="AA91" i="7"/>
  <c r="AA52" i="7"/>
  <c r="AA70" i="7"/>
  <c r="AA55" i="7"/>
  <c r="AA120" i="7"/>
  <c r="AB120" i="7"/>
  <c r="AA35" i="7"/>
  <c r="AB35" i="7"/>
  <c r="AA95" i="7"/>
  <c r="AB95" i="7"/>
  <c r="AA107" i="7"/>
  <c r="AB107" i="7"/>
  <c r="AA105" i="7"/>
  <c r="AA82" i="7"/>
  <c r="AB82" i="7"/>
  <c r="AA64" i="7"/>
  <c r="AB64" i="7"/>
  <c r="AA83" i="7"/>
  <c r="AB83" i="7"/>
  <c r="AA69" i="7"/>
  <c r="AA58" i="7"/>
  <c r="AB58" i="7"/>
  <c r="AA67" i="7"/>
  <c r="AB67" i="7"/>
  <c r="AA59" i="7"/>
  <c r="AB59" i="7"/>
  <c r="AA57" i="7"/>
  <c r="AA34" i="7"/>
  <c r="AB34" i="7"/>
  <c r="AA115" i="7"/>
  <c r="AB115" i="7"/>
  <c r="AA71" i="7"/>
  <c r="AB71" i="7"/>
  <c r="AA101" i="7"/>
  <c r="AA47" i="7"/>
  <c r="AB47" i="7"/>
  <c r="AA119" i="7"/>
  <c r="AA88" i="7"/>
  <c r="AA61" i="7"/>
  <c r="AB61" i="7"/>
  <c r="AA100" i="7"/>
  <c r="AB100" i="7"/>
  <c r="AA94" i="7"/>
  <c r="AB94" i="7"/>
  <c r="AA112" i="7"/>
  <c r="AB112" i="7"/>
  <c r="AA40" i="7"/>
  <c r="AB40" i="7"/>
  <c r="R36" i="4"/>
  <c r="AA111" i="7"/>
  <c r="AA81" i="7"/>
  <c r="AA109" i="7"/>
  <c r="AA106" i="7"/>
  <c r="AA39" i="7"/>
  <c r="AA121" i="7"/>
  <c r="AA51" i="7"/>
  <c r="AA33" i="7"/>
  <c r="AA93" i="7"/>
  <c r="AA60" i="7"/>
  <c r="AA102" i="7"/>
  <c r="AA48" i="7"/>
  <c r="AA36" i="7"/>
  <c r="AA77" i="7"/>
  <c r="AA78" i="7"/>
  <c r="AA65" i="7"/>
  <c r="AA89" i="7"/>
  <c r="AA87" i="7"/>
  <c r="AA53" i="7"/>
  <c r="AA108" i="7"/>
  <c r="AA41" i="7"/>
  <c r="AA90" i="7"/>
  <c r="AA75" i="7"/>
  <c r="AA96" i="7"/>
  <c r="AA54" i="7"/>
  <c r="AA99" i="7"/>
  <c r="AA84" i="7"/>
  <c r="AA66" i="7"/>
  <c r="AA72" i="7"/>
  <c r="AA114" i="7"/>
  <c r="AA42" i="7"/>
  <c r="AD120" i="7"/>
  <c r="AA63" i="7"/>
  <c r="AA92" i="7"/>
  <c r="AA56" i="7"/>
  <c r="AD112" i="7"/>
  <c r="AD40" i="7"/>
  <c r="AD34" i="7"/>
  <c r="AA122" i="7"/>
  <c r="AA86" i="7"/>
  <c r="AA50" i="7"/>
  <c r="AA80" i="7"/>
  <c r="AA44" i="7"/>
  <c r="AA116" i="7"/>
  <c r="AD82" i="7"/>
  <c r="AA110" i="7"/>
  <c r="AA74" i="7"/>
  <c r="AA38" i="7"/>
  <c r="AA68" i="7"/>
  <c r="AA32" i="7"/>
  <c r="AD64" i="7"/>
  <c r="AD58" i="7"/>
  <c r="AA104" i="7"/>
  <c r="AA98" i="7"/>
  <c r="AA62" i="7"/>
  <c r="AE83" i="7" l="1"/>
  <c r="AF83" i="7" s="1"/>
  <c r="AD71" i="7"/>
  <c r="AE100" i="7"/>
  <c r="AF100" i="7" s="1"/>
  <c r="AE59" i="7"/>
  <c r="AF59" i="7" s="1"/>
  <c r="AD107" i="7"/>
  <c r="AE94" i="7"/>
  <c r="AF94" i="7" s="1"/>
  <c r="AD106" i="7"/>
  <c r="AD46" i="7"/>
  <c r="AD101" i="7"/>
  <c r="AD52" i="7"/>
  <c r="AD88" i="7"/>
  <c r="AD118" i="7"/>
  <c r="AE93" i="7"/>
  <c r="AF93" i="7" s="1"/>
  <c r="AD93" i="7"/>
  <c r="AE39" i="7"/>
  <c r="AF39" i="7" s="1"/>
  <c r="AD39" i="7"/>
  <c r="AE74" i="7"/>
  <c r="AF74" i="7" s="1"/>
  <c r="AD74" i="7"/>
  <c r="AE60" i="7"/>
  <c r="AF60" i="7" s="1"/>
  <c r="AD60" i="7"/>
  <c r="AE62" i="7"/>
  <c r="AF62" i="7" s="1"/>
  <c r="AD62" i="7"/>
  <c r="AE44" i="7"/>
  <c r="AF44" i="7" s="1"/>
  <c r="AD44" i="7"/>
  <c r="AE104" i="7"/>
  <c r="AF104" i="7" s="1"/>
  <c r="AD104" i="7"/>
  <c r="AE63" i="7"/>
  <c r="AF63" i="7" s="1"/>
  <c r="AD63" i="7"/>
  <c r="AE38" i="7"/>
  <c r="AF38" i="7" s="1"/>
  <c r="AD38" i="7"/>
  <c r="AE51" i="7"/>
  <c r="AF51" i="7" s="1"/>
  <c r="AD51" i="7"/>
  <c r="AE111" i="7"/>
  <c r="AF111" i="7" s="1"/>
  <c r="AD111" i="7"/>
  <c r="AE122" i="7"/>
  <c r="AF122" i="7" s="1"/>
  <c r="AD122" i="7"/>
  <c r="AE75" i="7"/>
  <c r="AF75" i="7" s="1"/>
  <c r="AD75" i="7"/>
  <c r="AE57" i="7"/>
  <c r="AF57" i="7" s="1"/>
  <c r="AD57" i="7"/>
  <c r="AE50" i="7"/>
  <c r="AF50" i="7" s="1"/>
  <c r="AD50" i="7"/>
  <c r="AE91" i="7"/>
  <c r="AF91" i="7" s="1"/>
  <c r="AD91" i="7"/>
  <c r="AE117" i="7"/>
  <c r="AF117" i="7" s="1"/>
  <c r="AD117" i="7"/>
  <c r="AE121" i="7"/>
  <c r="AF121" i="7" s="1"/>
  <c r="AD121" i="7"/>
  <c r="AE86" i="7"/>
  <c r="AF86" i="7" s="1"/>
  <c r="AD86" i="7"/>
  <c r="AE102" i="7"/>
  <c r="AF102" i="7" s="1"/>
  <c r="AD102" i="7"/>
  <c r="AE73" i="7"/>
  <c r="AF73" i="7" s="1"/>
  <c r="AD73" i="7"/>
  <c r="AE56" i="7"/>
  <c r="AF56" i="7" s="1"/>
  <c r="AD56" i="7"/>
  <c r="AE54" i="7"/>
  <c r="AF54" i="7" s="1"/>
  <c r="AD54" i="7"/>
  <c r="AE85" i="7"/>
  <c r="AF85" i="7" s="1"/>
  <c r="AD85" i="7"/>
  <c r="AE99" i="7"/>
  <c r="AF99" i="7" s="1"/>
  <c r="AD99" i="7"/>
  <c r="AE69" i="7"/>
  <c r="AF69" i="7" s="1"/>
  <c r="AD69" i="7"/>
  <c r="AE110" i="7"/>
  <c r="AF110" i="7" s="1"/>
  <c r="AD110" i="7"/>
  <c r="AE108" i="7"/>
  <c r="AF108" i="7" s="1"/>
  <c r="AD108" i="7"/>
  <c r="AE45" i="7"/>
  <c r="AF45" i="7" s="1"/>
  <c r="AD45" i="7"/>
  <c r="AE33" i="7"/>
  <c r="AF33" i="7" s="1"/>
  <c r="AD33" i="7"/>
  <c r="AE98" i="7"/>
  <c r="AF98" i="7" s="1"/>
  <c r="AD98" i="7"/>
  <c r="AE123" i="7"/>
  <c r="AF123" i="7" s="1"/>
  <c r="AD123" i="7"/>
  <c r="AE66" i="7"/>
  <c r="AF66" i="7" s="1"/>
  <c r="AD66" i="7"/>
  <c r="AE37" i="7"/>
  <c r="AF37" i="7" s="1"/>
  <c r="AD37" i="7"/>
  <c r="AE49" i="7"/>
  <c r="AF49" i="7" s="1"/>
  <c r="AD49" i="7"/>
  <c r="AE114" i="7"/>
  <c r="AF114" i="7" s="1"/>
  <c r="AD114" i="7"/>
  <c r="AE103" i="7"/>
  <c r="AF103" i="7" s="1"/>
  <c r="AD103" i="7"/>
  <c r="AE89" i="7"/>
  <c r="AF89" i="7" s="1"/>
  <c r="AD89" i="7"/>
  <c r="AE90" i="7"/>
  <c r="AF90" i="7" s="1"/>
  <c r="AD90" i="7"/>
  <c r="AE79" i="7"/>
  <c r="AF79" i="7" s="1"/>
  <c r="AD79" i="7"/>
  <c r="AE87" i="7"/>
  <c r="AF87" i="7" s="1"/>
  <c r="AD87" i="7"/>
  <c r="AE84" i="7"/>
  <c r="AF84" i="7" s="1"/>
  <c r="AD84" i="7"/>
  <c r="AD119" i="7"/>
  <c r="AE119" i="7"/>
  <c r="AF119" i="7" s="1"/>
  <c r="AE92" i="7"/>
  <c r="AF92" i="7" s="1"/>
  <c r="AD92" i="7"/>
  <c r="AE109" i="7"/>
  <c r="AF109" i="7" s="1"/>
  <c r="AD109" i="7"/>
  <c r="AE96" i="7"/>
  <c r="AF96" i="7" s="1"/>
  <c r="AD96" i="7"/>
  <c r="AE48" i="7"/>
  <c r="AF48" i="7" s="1"/>
  <c r="AD48" i="7"/>
  <c r="AD70" i="7"/>
  <c r="AD53" i="7"/>
  <c r="AE53" i="7"/>
  <c r="AF53" i="7" s="1"/>
  <c r="AE97" i="7"/>
  <c r="AF97" i="7" s="1"/>
  <c r="AD97" i="7"/>
  <c r="AE81" i="7"/>
  <c r="AF81" i="7" s="1"/>
  <c r="AD81" i="7"/>
  <c r="AE36" i="7"/>
  <c r="AF36" i="7" s="1"/>
  <c r="AD36" i="7"/>
  <c r="AE116" i="7"/>
  <c r="AF116" i="7" s="1"/>
  <c r="AD116" i="7"/>
  <c r="AE77" i="7"/>
  <c r="AF77" i="7" s="1"/>
  <c r="AD77" i="7"/>
  <c r="AE68" i="7"/>
  <c r="AF68" i="7" s="1"/>
  <c r="AD68" i="7"/>
  <c r="AE43" i="7"/>
  <c r="AF43" i="7" s="1"/>
  <c r="AD43" i="7"/>
  <c r="AE105" i="7"/>
  <c r="AF105" i="7" s="1"/>
  <c r="AD105" i="7"/>
  <c r="AE80" i="7"/>
  <c r="AF80" i="7" s="1"/>
  <c r="AD80" i="7"/>
  <c r="AD76" i="7"/>
  <c r="AE65" i="7"/>
  <c r="AF65" i="7" s="1"/>
  <c r="AD65" i="7"/>
  <c r="AE78" i="7"/>
  <c r="AF78" i="7" s="1"/>
  <c r="AD78" i="7"/>
  <c r="AE42" i="7"/>
  <c r="AF42" i="7" s="1"/>
  <c r="AD42" i="7"/>
  <c r="AE55" i="7"/>
  <c r="AF55" i="7" s="1"/>
  <c r="AD55" i="7"/>
  <c r="AE72" i="7"/>
  <c r="AF72" i="7" s="1"/>
  <c r="AD72" i="7"/>
  <c r="AE41" i="7"/>
  <c r="AF41" i="7" s="1"/>
  <c r="AD41" i="7"/>
  <c r="AE32" i="7"/>
  <c r="AF32" i="7" s="1"/>
  <c r="AD32" i="7"/>
  <c r="E40" i="8"/>
  <c r="E41" i="8" s="1"/>
  <c r="F105" i="5" l="1"/>
  <c r="F71" i="5"/>
  <c r="F66" i="5"/>
  <c r="F57" i="5"/>
  <c r="F21" i="5"/>
  <c r="M56" i="5" s="1"/>
  <c r="H46" i="4"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AS49" i="6" l="1"/>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H116" i="5"/>
  <c r="M58" i="5"/>
  <c r="H48" i="4" s="1"/>
  <c r="X57" i="6"/>
  <c r="AK50" i="6"/>
  <c r="AK57" i="6" s="1"/>
  <c r="AL19" i="6" l="1"/>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V70" i="6" l="1"/>
  <c r="X70" i="6"/>
  <c r="F32" i="5"/>
  <c r="F35" i="5" l="1"/>
  <c r="F36" i="5" s="1"/>
  <c r="Q42" i="2"/>
  <c r="N19" i="4" s="1"/>
  <c r="Q41" i="2"/>
  <c r="Q40" i="2"/>
  <c r="Q39" i="2"/>
  <c r="F37" i="5" l="1"/>
  <c r="Z49" i="2"/>
  <c r="Y49" i="2"/>
  <c r="X49" i="2"/>
  <c r="W49" i="2"/>
  <c r="V49" i="2"/>
  <c r="X76" i="6" l="1"/>
  <c r="V76" i="6"/>
  <c r="W76" i="6"/>
  <c r="R79" i="6"/>
  <c r="F38" i="5"/>
  <c r="F39" i="5" s="1"/>
  <c r="U76" i="6"/>
  <c r="U79" i="6" s="1"/>
  <c r="U80" i="6" s="1"/>
  <c r="T76" i="6"/>
  <c r="T79" i="6" s="1"/>
  <c r="T80" i="6" s="1"/>
  <c r="S76" i="6"/>
  <c r="S79" i="6" s="1"/>
  <c r="S80" i="6" s="1"/>
  <c r="F40" i="5" l="1"/>
  <c r="G21" i="2"/>
  <c r="F21" i="2"/>
  <c r="E21" i="2"/>
  <c r="D21" i="2"/>
  <c r="C21" i="2"/>
  <c r="F41" i="5" l="1"/>
  <c r="F44" i="5" s="1"/>
  <c r="G22" i="2"/>
  <c r="F22" i="2"/>
  <c r="E22" i="2"/>
  <c r="D22" i="2"/>
  <c r="Y30" i="7" l="1"/>
  <c r="Y28" i="7"/>
  <c r="Y26" i="7"/>
  <c r="Y24" i="7"/>
  <c r="Y29" i="7"/>
  <c r="Y31" i="7"/>
  <c r="Y27" i="7"/>
  <c r="Y25" i="7"/>
  <c r="F46" i="5"/>
  <c r="Z28" i="7" l="1"/>
  <c r="AC28" i="7" s="1"/>
  <c r="Z26" i="7"/>
  <c r="AC26" i="7" s="1"/>
  <c r="Z30" i="7"/>
  <c r="AC30" i="7" s="1"/>
  <c r="Z27" i="7"/>
  <c r="AC27" i="7" s="1"/>
  <c r="Z29" i="7"/>
  <c r="AC29" i="7" s="1"/>
  <c r="Z31" i="7"/>
  <c r="AC31" i="7" s="1"/>
  <c r="Z25" i="7"/>
  <c r="AC25" i="7" s="1"/>
  <c r="Z24" i="7"/>
  <c r="AC24" i="7" s="1"/>
  <c r="Y124" i="7"/>
  <c r="M57" i="5"/>
  <c r="H47" i="4" s="1"/>
  <c r="F118" i="5"/>
  <c r="G116" i="5"/>
  <c r="AB30" i="7" l="1"/>
  <c r="AB28" i="7"/>
  <c r="AB26" i="7"/>
  <c r="AD24" i="7"/>
  <c r="AE24" i="7"/>
  <c r="AF24" i="7" s="1"/>
  <c r="AB25" i="7"/>
  <c r="AB27" i="7"/>
  <c r="AB31" i="7"/>
  <c r="AB29" i="7"/>
  <c r="AA26" i="7"/>
  <c r="AA28" i="7"/>
  <c r="AA30" i="7"/>
  <c r="AA27" i="7"/>
  <c r="AA29" i="7"/>
  <c r="AA31" i="7"/>
  <c r="AA25" i="7"/>
  <c r="AB24" i="7"/>
  <c r="AA24" i="7"/>
  <c r="Z124" i="7"/>
  <c r="AA124" i="7" s="1"/>
  <c r="H49" i="4"/>
  <c r="I118" i="5"/>
  <c r="H118" i="5"/>
  <c r="G118" i="5"/>
  <c r="I116" i="5"/>
  <c r="M59" i="5"/>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39" i="4"/>
  <c r="AC124" i="7" l="1"/>
  <c r="AD124" i="7" s="1"/>
  <c r="AE25" i="7"/>
  <c r="AF25" i="7" s="1"/>
  <c r="AD25" i="7"/>
  <c r="AE28" i="7"/>
  <c r="AF28" i="7" s="1"/>
  <c r="AD28" i="7"/>
  <c r="AE29" i="7"/>
  <c r="AF29" i="7" s="1"/>
  <c r="AD29" i="7"/>
  <c r="AE31" i="7"/>
  <c r="AF31" i="7" s="1"/>
  <c r="AD31" i="7"/>
  <c r="AE26" i="7"/>
  <c r="AF26" i="7" s="1"/>
  <c r="AD26" i="7"/>
  <c r="AB124" i="7"/>
  <c r="AE30" i="7"/>
  <c r="AF30" i="7" s="1"/>
  <c r="AD30" i="7"/>
  <c r="AE27" i="7"/>
  <c r="AF27" i="7" s="1"/>
  <c r="AD27" i="7"/>
  <c r="M32" i="5"/>
  <c r="H32" i="4" s="1"/>
  <c r="M50" i="5"/>
  <c r="H42" i="4" s="1"/>
  <c r="P58" i="6"/>
  <c r="X78" i="6" l="1"/>
  <c r="X79" i="6" s="1"/>
  <c r="X80" i="6" s="1"/>
  <c r="W78" i="6"/>
  <c r="W79" i="6" s="1"/>
  <c r="W80" i="6" s="1"/>
  <c r="N73" i="5"/>
  <c r="N76" i="5" s="1"/>
  <c r="N79" i="5" s="1"/>
  <c r="N80" i="5" s="1"/>
  <c r="O73" i="5"/>
  <c r="O76" i="5" s="1"/>
  <c r="O79" i="5" s="1"/>
  <c r="O80" i="5" s="1"/>
  <c r="M42" i="4"/>
  <c r="N42" i="4" s="1"/>
  <c r="O42" i="4" s="1"/>
  <c r="P42" i="4" s="1"/>
  <c r="Q42" i="4" s="1"/>
  <c r="R42" i="4" s="1"/>
  <c r="S42" i="4" s="1"/>
  <c r="T42" i="4" s="1"/>
  <c r="U42" i="4" s="1"/>
  <c r="V42" i="4" s="1"/>
  <c r="W42" i="4" s="1"/>
  <c r="X42" i="4" s="1"/>
  <c r="Y42" i="4" s="1"/>
  <c r="Z42" i="4" s="1"/>
  <c r="AA42" i="4" s="1"/>
  <c r="AE124" i="7"/>
  <c r="H43" i="4"/>
  <c r="H33" i="4"/>
  <c r="M35" i="5"/>
  <c r="M53" i="5"/>
  <c r="P49" i="6"/>
  <c r="P31" i="6"/>
  <c r="J28" i="4" l="1"/>
  <c r="J27" i="4"/>
  <c r="J25" i="4"/>
  <c r="J26" i="4"/>
  <c r="I33" i="4"/>
  <c r="J33" i="4"/>
  <c r="J32" i="4"/>
  <c r="J31" i="4"/>
  <c r="J30" i="4"/>
  <c r="J29" i="4"/>
  <c r="J38" i="4"/>
  <c r="J43" i="4"/>
  <c r="I43" i="4"/>
  <c r="J42" i="4"/>
  <c r="J41" i="4"/>
  <c r="J40" i="4"/>
  <c r="J39" i="4"/>
  <c r="J36" i="4"/>
  <c r="J37" i="4"/>
  <c r="M73" i="5"/>
  <c r="M74" i="5" s="1"/>
  <c r="M76" i="5" s="1"/>
  <c r="M79" i="5" s="1"/>
  <c r="M80" i="5" s="1"/>
  <c r="X17" i="6"/>
  <c r="H44" i="4"/>
  <c r="H34" i="4"/>
  <c r="M36" i="5"/>
  <c r="M54" i="5"/>
  <c r="P34" i="6"/>
  <c r="P52" i="6"/>
  <c r="Z17" i="6" l="1"/>
  <c r="Y17" i="6"/>
  <c r="AI17" i="6"/>
  <c r="X20" i="6"/>
  <c r="P35" i="6"/>
  <c r="P53" i="6"/>
  <c r="AA32" i="2"/>
  <c r="AA33" i="2"/>
  <c r="AA34" i="2"/>
  <c r="AA35" i="2"/>
  <c r="AA36" i="2"/>
  <c r="AA37" i="2"/>
  <c r="AA38" i="2"/>
  <c r="AA39" i="2"/>
  <c r="AA40" i="2"/>
  <c r="AA41" i="2"/>
  <c r="AA42" i="2"/>
  <c r="AA43" i="2"/>
  <c r="AA44" i="2"/>
  <c r="AA45" i="2"/>
  <c r="AA46" i="2"/>
  <c r="AA47" i="2"/>
  <c r="AA48"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AA23" i="6" l="1"/>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Owen.Laverty</author>
  </authors>
  <commentList>
    <comment ref="F13" authorId="0" shapeId="0" xr:uid="{B9F06AF5-54F8-42DC-9153-45B54032F29A}">
      <text>
        <r>
          <rPr>
            <b/>
            <sz val="9"/>
            <color indexed="81"/>
            <rFont val="Tahoma"/>
            <charset val="1"/>
          </rPr>
          <t xml:space="preserve">Note:
</t>
        </r>
        <r>
          <rPr>
            <sz val="9"/>
            <color indexed="81"/>
            <rFont val="Tahoma"/>
            <family val="2"/>
          </rPr>
          <t>Select "Long-Term Vacant Rehab" if vacant for at least 5 years; Select "Short-Term Vacant Rehab" if vacant for less than 5 years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<sst xmlns="http://schemas.openxmlformats.org/spreadsheetml/2006/main" count="1847" uniqueCount="436">
  <si>
    <t>City of Detroit Housing &amp; Revitalization Department</t>
  </si>
  <si>
    <t>Project Overview</t>
  </si>
  <si>
    <r>
      <rPr>
        <b/>
        <sz val="10"/>
        <color theme="1"/>
        <rFont val="Calibri"/>
        <family val="2"/>
        <scheme val="minor"/>
      </rPr>
      <t>Instructions:</t>
    </r>
    <r>
      <rPr>
        <sz val="10"/>
        <color theme="1"/>
        <rFont val="Calibri"/>
        <family val="2"/>
        <scheme val="minor"/>
      </rPr>
      <t xml:space="preserve"> The Overview tab determines the PILOT program applicable to your project based on answers to project screening questions, and provides a high-level summary of the development information, sources &amp; uses, and unit mix. Please answer the project screening questions and input the property address, project name, construction start date, construction duration in months, gross square footage, and commercial square footage.</t>
    </r>
  </si>
  <si>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</si>
  <si>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</si>
  <si>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</si>
  <si>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</si>
  <si>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t>Project Screening Questions</t>
  </si>
  <si>
    <t>City of Detroit HRD PILOT Rates</t>
  </si>
  <si>
    <t>What Is The Project Type?</t>
  </si>
  <si>
    <t>Average % AMI</t>
  </si>
  <si>
    <t>Government Aided Housing - Long-Term Vacant</t>
  </si>
  <si>
    <t>Government Aided Housing - Standard</t>
  </si>
  <si>
    <t>Fast-Track Housing - Long-Term Vacant</t>
  </si>
  <si>
    <t>Fast-Track Housing - Standard</t>
  </si>
  <si>
    <t>Standard Workforce Housing</t>
  </si>
  <si>
    <t>What Is The Average AMI?</t>
  </si>
  <si>
    <t>Is There Government Assistance (LIHTC, CDBG, HOME, etc.)? (Y/N)</t>
  </si>
  <si>
    <t>Is 100% of The Project Income Restricted?</t>
  </si>
  <si>
    <t>GAHP-V</t>
  </si>
  <si>
    <t>GAHP-S</t>
  </si>
  <si>
    <t>FTHP-V</t>
  </si>
  <si>
    <t>FTHP-S</t>
  </si>
  <si>
    <t>SWHP</t>
  </si>
  <si>
    <t>What Is The Type of Residential Project?</t>
  </si>
  <si>
    <t>What PILOT Program Are You Targeting?</t>
  </si>
  <si>
    <t>Development Overview</t>
  </si>
  <si>
    <t>Sources &amp; Uses</t>
  </si>
  <si>
    <t>Unit Mix Summary</t>
  </si>
  <si>
    <t>Item</t>
  </si>
  <si>
    <t>Input</t>
  </si>
  <si>
    <t>$ Amount</t>
  </si>
  <si>
    <t>$ / Unit</t>
  </si>
  <si>
    <t>% of Total</t>
  </si>
  <si>
    <t>% AMI</t>
  </si>
  <si>
    <t>Studio</t>
  </si>
  <si>
    <t>1 Bedroom</t>
  </si>
  <si>
    <t>2 Bedroom</t>
  </si>
  <si>
    <t>3 Bedroom</t>
  </si>
  <si>
    <t>4+ Bedroom</t>
  </si>
  <si>
    <t>Total</t>
  </si>
  <si>
    <t>Property Address</t>
  </si>
  <si>
    <t>Construction Sources</t>
  </si>
  <si>
    <t>PSH</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</si>
  <si>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</si>
  <si>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</si>
  <si>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</si>
  <si>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</si>
  <si>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</si>
  <si>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</si>
  <si>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</si>
  <si>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</si>
  <si>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</si>
  <si>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</si>
  <si>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</si>
  <si>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</si>
  <si>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</si>
  <si>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</si>
  <si>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</si>
  <si>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</si>
  <si>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</si>
  <si>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Residential Rentable SF</t>
  </si>
  <si>
    <t>Permanent Sources</t>
  </si>
  <si>
    <t>MKT</t>
  </si>
  <si>
    <t>Market-Rate Rentable SF</t>
  </si>
  <si>
    <t>Affordable Rentable SF</t>
  </si>
  <si>
    <t>Commercial Rentable SF</t>
  </si>
  <si>
    <t>Permanent Loan</t>
  </si>
  <si>
    <t>Non-Rentable SF</t>
  </si>
  <si>
    <r>
      <t xml:space="preserve">Gross Potential Rent Escalation Table - </t>
    </r>
    <r>
      <rPr>
        <b/>
        <i/>
        <u/>
        <sz val="10"/>
        <color theme="1"/>
        <rFont val="Calibri"/>
        <family val="2"/>
        <scheme val="minor"/>
      </rPr>
      <t>For Assessor's Office Only</t>
    </r>
  </si>
  <si>
    <t>Occupancy %</t>
  </si>
  <si>
    <t>Average AMI %</t>
  </si>
  <si>
    <t>Escalation Factor</t>
  </si>
  <si>
    <t>% of Affordable Units</t>
  </si>
  <si>
    <t>Gross Potential Rent</t>
  </si>
  <si>
    <t>Total Permanent Sources</t>
  </si>
  <si>
    <t>Uses</t>
  </si>
  <si>
    <t>Acquisition Costs</t>
  </si>
  <si>
    <t>Hard Costs</t>
  </si>
  <si>
    <t>Soft Costs</t>
  </si>
  <si>
    <t>Total Uses</t>
  </si>
  <si>
    <t>Rent Roll</t>
  </si>
  <si>
    <r>
      <rPr>
        <b/>
        <sz val="10"/>
        <color theme="1"/>
        <rFont val="Calibri"/>
        <family val="2"/>
        <scheme val="minor"/>
      </rPr>
      <t>Instructions:</t>
    </r>
    <r>
      <rPr>
        <sz val="10"/>
        <color theme="1"/>
        <rFont val="Calibri"/>
        <family val="2"/>
        <scheme val="minor"/>
      </rPr>
      <t xml:space="preserve"> The Rent Roll tab is used to input the unit mix (if new construction) or current rent roll (if occupied). This data will roll up on the Overview tab and is used in calculations on the FTHP &amp; GAHP tab or SWHP tab as applicable. Input your unit mix by bedroom type (if new construction) or current rent roll by individual unit (if occupied). </t>
    </r>
    <r>
      <rPr>
        <b/>
        <u/>
        <sz val="10"/>
        <color theme="1"/>
        <rFont val="Calibri"/>
        <family val="2"/>
        <scheme val="minor"/>
      </rPr>
      <t>If your property is occupied or you're filling out the Rent Roll based upon a detailed unit-by-unit schedule, you must enter  "1" for "# of Total Units" and select "Y" for "Occupied? (Y/N)".</t>
    </r>
    <r>
      <rPr>
        <sz val="10"/>
        <color theme="1"/>
        <rFont val="Calibri"/>
        <family val="2"/>
        <scheme val="minor"/>
      </rPr>
      <t xml:space="preserve"> If you're filling out the Rent Roll based upon a summary unit mix and do not have specific unit-by-unit detail and/or any occupied units, you may simply insert as many units as there are planned to be at the property by type in the "Total # of Units" column. In the "Tenant Paid Utilities" table, indicate which utilities, if any, are paid by tenants. This will determine which MSHDA utility allowances (located on the Data tab) to apply to calculate maximum affordable net rent. If applicable, use the manual overrides for affordable rent per month and tenant-paid utilities per month by unit type. If occupied, input current household income, current household size, and current rent.</t>
    </r>
  </si>
  <si>
    <t>Tenant Paid Utilities</t>
  </si>
  <si>
    <t>Utility</t>
  </si>
  <si>
    <t>Tenant Paid?</t>
  </si>
  <si>
    <t>Heating</t>
  </si>
  <si>
    <t>Natural Gas</t>
  </si>
  <si>
    <t>Electric</t>
  </si>
  <si>
    <t>Cooking</t>
  </si>
  <si>
    <t>Hot Water</t>
  </si>
  <si>
    <r>
      <rPr>
        <b/>
        <sz val="10"/>
        <color rgb="FFC00000"/>
        <rFont val="Calibri"/>
        <family val="2"/>
        <scheme val="minor"/>
      </rPr>
      <t>Red</t>
    </r>
    <r>
      <rPr>
        <sz val="10"/>
        <color rgb="FFC00000"/>
        <rFont val="Calibri"/>
        <family val="2"/>
        <scheme val="minor"/>
      </rPr>
      <t xml:space="preserve"> = Invalid Input</t>
    </r>
  </si>
  <si>
    <t>Manual Overrides</t>
  </si>
  <si>
    <t>Other Electric</t>
  </si>
  <si>
    <t>Unit Type</t>
  </si>
  <si>
    <t>$ Rent / Mo</t>
  </si>
  <si>
    <t>$ Utility / Mo</t>
  </si>
  <si>
    <t>Water</t>
  </si>
  <si>
    <t>Sewer</t>
  </si>
  <si>
    <t>Trash</t>
  </si>
  <si>
    <t>Natural Gas Service Charge</t>
  </si>
  <si>
    <t>Electric Service Charge</t>
  </si>
  <si>
    <t>4 Bedroom</t>
  </si>
  <si>
    <t>ONLY FILL OUT IF OCCUPIED, OTHERWISE INPUT "NA" OR "0" AS SHOWN BELOW</t>
  </si>
  <si>
    <t>Unit Number</t>
  </si>
  <si>
    <t>Unit Description</t>
  </si>
  <si>
    <t>Unit SF</t>
  </si>
  <si>
    <t>Occupied? (Y/N)</t>
  </si>
  <si>
    <t># of Total Units</t>
  </si>
  <si>
    <t>Total SF</t>
  </si>
  <si>
    <t>Affordability Type At Completion</t>
  </si>
  <si>
    <t>Max % Unit Income Restriction At Completion</t>
  </si>
  <si>
    <t>Rent Restriction At Completion</t>
  </si>
  <si>
    <t># of Household Persons At Completion</t>
  </si>
  <si>
    <t xml:space="preserve">Current $ Annual Household Income </t>
  </si>
  <si>
    <t>Current # of Household Persons</t>
  </si>
  <si>
    <t>Current Household AMI</t>
  </si>
  <si>
    <t>Adjusting Existing Rent?</t>
  </si>
  <si>
    <t>Current Rent (As Occupied)</t>
  </si>
  <si>
    <t>Proposed Initial Lease Rent (As Completed)</t>
  </si>
  <si>
    <t>Restricted Affordable Rent</t>
  </si>
  <si>
    <t>Assumed Rent</t>
  </si>
  <si>
    <t>Allowable Rent?</t>
  </si>
  <si>
    <t>$ Rent PSF / Mo</t>
  </si>
  <si>
    <t>$ Annual Current Rent</t>
  </si>
  <si>
    <t>$ Annual Future Rent</t>
  </si>
  <si>
    <t>$ Net Rent / Mo</t>
  </si>
  <si>
    <t>$ Net Rent PSF / Mo</t>
  </si>
  <si>
    <t>$ Gross Potential Rent</t>
  </si>
  <si>
    <t>$ Assumed Annual Rent</t>
  </si>
  <si>
    <t>&lt;INSERT DESC&gt;</t>
  </si>
  <si>
    <t>NA</t>
  </si>
  <si>
    <t>N</t>
  </si>
  <si>
    <t>Total / Average</t>
  </si>
  <si>
    <t>Investment Summary</t>
  </si>
  <si>
    <r>
      <rPr>
        <b/>
        <sz val="10"/>
        <color theme="1"/>
        <rFont val="Calibri"/>
        <family val="2"/>
        <scheme val="minor"/>
      </rPr>
      <t>Instructions:</t>
    </r>
    <r>
      <rPr>
        <sz val="10"/>
        <color theme="1"/>
        <rFont val="Calibri"/>
        <family val="2"/>
        <scheme val="minor"/>
      </rPr>
      <t xml:space="preserve"> </t>
    </r>
    <r>
      <rPr>
        <u/>
        <sz val="10"/>
        <color theme="1"/>
        <rFont val="Calibri"/>
        <family val="2"/>
        <scheme val="minor"/>
      </rPr>
      <t xml:space="preserve">ONLY COMPLETE THIS TAB IF APPLYING FOR PILOT RENEWAL FOR A REHAB PROJECT
</t>
    </r>
    <r>
      <rPr>
        <sz val="10"/>
        <color theme="1"/>
        <rFont val="Calibri"/>
        <family val="2"/>
        <scheme val="minor"/>
      </rPr>
      <t>Enter all capital investments completed during the initial term of the PILOT or other incentive program. Include the investment description, amount spent, vendor, invoice number, and invoice date for all applicable capital investments. Note that the investment threshold of $5,000 per unit must be met to qualify for a PILOT renewal.</t>
    </r>
  </si>
  <si>
    <t>Description</t>
  </si>
  <si>
    <t>Vendor</t>
  </si>
  <si>
    <t>Invoice Number</t>
  </si>
  <si>
    <t>Invoice Date</t>
  </si>
  <si>
    <t>&lt;INSERT&gt;</t>
  </si>
  <si>
    <t>FTHP/GAHP Project Financials</t>
  </si>
  <si>
    <r>
      <rPr>
        <b/>
        <sz val="10"/>
        <color theme="1"/>
        <rFont val="Calibri"/>
        <family val="2"/>
        <scheme val="minor"/>
      </rPr>
      <t>Instructions:</t>
    </r>
    <r>
      <rPr>
        <sz val="10"/>
        <color theme="1"/>
        <rFont val="Calibri"/>
        <family val="2"/>
        <scheme val="minor"/>
      </rPr>
      <t xml:space="preserve"> </t>
    </r>
    <r>
      <rPr>
        <u/>
        <sz val="10"/>
        <color theme="1"/>
        <rFont val="Calibri"/>
        <family val="2"/>
        <scheme val="minor"/>
      </rPr>
      <t>ONLY FILL OUT THIS TAB IF APPLYING FOR FTHP/GAHP</t>
    </r>
    <r>
      <rPr>
        <sz val="10"/>
        <color theme="1"/>
        <rFont val="Calibri"/>
        <family val="2"/>
        <scheme val="minor"/>
      </rPr>
      <t xml:space="preserve">
The FTHP &amp; GAHP tab is applicable to projects eligible for the Fast Track Housing Program or the Government Aided Housing Program as indicated on the Overview Tab. This tab shows overall development budget and sources &amp; uses for the project as well as calculated PILOT taxes under the three different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
If applicable, please input the development budget and sources &amp; uses for the project.</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</si>
  <si>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</si>
  <si>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</si>
  <si>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</si>
  <si>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</si>
  <si>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</si>
  <si>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</si>
  <si>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</si>
  <si>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</si>
  <si>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</si>
  <si>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</si>
  <si>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</si>
  <si>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</si>
  <si>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</si>
  <si>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</si>
  <si>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</si>
  <si>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</si>
  <si>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</si>
  <si>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</si>
  <si>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</si>
  <si>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</si>
  <si>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</si>
  <si>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</si>
  <si>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</si>
  <si>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</si>
  <si>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</si>
  <si>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</si>
  <si>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</si>
  <si>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</si>
  <si>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</si>
  <si>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</si>
  <si>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</si>
  <si>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</si>
  <si>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</si>
  <si>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</si>
  <si>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</si>
  <si>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</si>
  <si>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</si>
  <si>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</si>
  <si>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</si>
  <si>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</si>
  <si>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</si>
  <si>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</si>
  <si>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</si>
  <si>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</si>
  <si>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</si>
  <si>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</si>
  <si>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</si>
  <si>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</si>
  <si>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</si>
  <si>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</si>
  <si>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</si>
  <si>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</si>
  <si>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</si>
  <si>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</si>
  <si>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</si>
  <si>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</si>
  <si>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</si>
  <si>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</si>
  <si>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</si>
  <si>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</si>
  <si>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</si>
  <si>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</si>
  <si>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</si>
  <si>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</si>
  <si>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</si>
  <si>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</si>
  <si>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</si>
  <si>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</si>
  <si>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</si>
  <si>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</si>
  <si>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</si>
  <si>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</si>
  <si>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</si>
  <si>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</si>
  <si>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</si>
  <si>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</si>
  <si>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</si>
  <si>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</si>
  <si>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</si>
  <si>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</si>
  <si>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</si>
  <si>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</si>
  <si>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</si>
  <si>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</si>
  <si>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</si>
  <si>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</si>
  <si>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</si>
  <si>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</si>
  <si>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</si>
  <si>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</si>
  <si>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</si>
  <si>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</si>
  <si>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</si>
  <si>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</si>
  <si>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</si>
  <si>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</si>
  <si>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</si>
  <si>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</si>
  <si>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</si>
  <si>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</si>
  <si>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</si>
  <si>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</si>
  <si>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</si>
  <si>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</si>
  <si>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</si>
  <si>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</si>
  <si>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</si>
  <si>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</si>
  <si>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</si>
  <si>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</si>
  <si>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</si>
  <si>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</si>
  <si>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</si>
  <si>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</si>
  <si>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</si>
  <si>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</si>
  <si>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</si>
  <si>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</si>
  <si>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</si>
  <si>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</si>
  <si>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</si>
  <si>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</si>
  <si>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</si>
  <si>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</si>
  <si>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</si>
  <si>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theme="1"/>
        <rFont val="Calibri"/>
        <family val="2"/>
        <scheme val="minor"/>
      </rPr>
      <t>Instructions:</t>
    </r>
    <r>
      <rPr>
        <sz val="10"/>
        <color theme="1"/>
        <rFont val="Calibri"/>
        <family val="2"/>
        <scheme val="minor"/>
      </rPr>
      <t xml:space="preserve"> </t>
    </r>
    <r>
      <rPr>
        <u/>
        <sz val="10"/>
        <color theme="1"/>
        <rFont val="Calibri"/>
        <family val="2"/>
        <scheme val="minor"/>
      </rPr>
      <t xml:space="preserve">ONLY FILL OUT THIS TAB IF APPLYING FOR SWHP
</t>
    </r>
    <r>
      <rPr>
        <sz val="10"/>
        <color theme="1"/>
        <rFont val="Calibri"/>
        <family val="2"/>
        <scheme val="minor"/>
      </rPr>
      <t>The SWHP tab is applicable to projects eligible for the Standard Workforce Housing Program as indicated on the Overview Tab. This tab shows overall development budget, sources &amp; use, a stabilized income statement, and projected 15-year cash flows for the project, as well as estimated tax liabilities under a variety of scenarios. If applicable, please input the development budget, sources &amp; uses, stabilized income and expenses, income and expense current and future inflation factors, and parcel information.</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</si>
  <si>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</si>
  <si>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</si>
  <si>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</si>
  <si>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</si>
  <si>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</si>
  <si>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</si>
  <si>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</si>
  <si>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</si>
  <si>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</si>
  <si>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</si>
  <si>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</si>
  <si>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</si>
  <si>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</si>
  <si>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</si>
  <si>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</si>
  <si>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</si>
  <si>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</si>
  <si>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</si>
  <si>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</si>
  <si>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</si>
  <si>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</si>
  <si>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</si>
  <si>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</si>
  <si>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</si>
  <si>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</si>
  <si>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</si>
  <si>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</si>
  <si>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</si>
  <si>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</si>
  <si>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</si>
  <si>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</si>
  <si>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</si>
  <si>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</si>
  <si>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</si>
  <si>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</si>
  <si>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</si>
  <si>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</si>
  <si>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</si>
  <si>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</si>
  <si>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</si>
  <si>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</si>
  <si>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</si>
  <si>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</si>
  <si>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</si>
  <si>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</si>
  <si>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</si>
  <si>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</si>
  <si>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</si>
  <si>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</si>
  <si>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</si>
  <si>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</si>
  <si>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</si>
  <si>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Y</t>
  </si>
  <si>
    <t>Parcel ID(s)</t>
  </si>
  <si>
    <t>Abatement Type</t>
  </si>
  <si>
    <t>SWHP PILOT Rate (Manual)</t>
  </si>
  <si>
    <t>TBD</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</si>
  <si>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</si>
  <si>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</si>
  <si>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</si>
  <si>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</si>
  <si>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</si>
  <si>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</si>
  <si>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</si>
  <si>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</si>
  <si>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</si>
  <si>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</si>
  <si>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</si>
  <si>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</si>
  <si>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</si>
  <si>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Lookup Data</t>
  </si>
  <si>
    <t>AMI Year:</t>
  </si>
  <si>
    <t>UA Year</t>
  </si>
  <si>
    <t>MSHDA AMI Rents</t>
  </si>
  <si>
    <t>MSHDA Utility Allowances</t>
  </si>
  <si>
    <t>Apartment</t>
  </si>
  <si>
    <t>Attached</t>
  </si>
  <si>
    <t>Detached</t>
  </si>
  <si>
    <t>High-rise, Low-rise</t>
  </si>
  <si>
    <t>Townhouse, Duplex, Triplex, Fourplex</t>
  </si>
  <si>
    <t>Single Family Detached, Manufactured Home</t>
  </si>
  <si>
    <t>0 BR</t>
  </si>
  <si>
    <t>1 BR</t>
  </si>
  <si>
    <t>2 BR</t>
  </si>
  <si>
    <t>3 BR</t>
  </si>
  <si>
    <t>4 BR</t>
  </si>
  <si>
    <t>HUD 2024 FMR</t>
  </si>
  <si>
    <t>Utility Allowance</t>
  </si>
  <si>
    <t>MSHDA AMI Incomes</t>
  </si>
  <si>
    <t>City of Detroit Millage Detail</t>
  </si>
  <si>
    <t>1 Person</t>
  </si>
  <si>
    <t>2 Person</t>
  </si>
  <si>
    <t>3 Person</t>
  </si>
  <si>
    <t>4 Person</t>
  </si>
  <si>
    <t>5 Person</t>
  </si>
  <si>
    <t>6 Person</t>
  </si>
  <si>
    <t>7 Person</t>
  </si>
  <si>
    <t>8 Person</t>
  </si>
  <si>
    <t>Government Aided Housing - Vacant</t>
  </si>
  <si>
    <t>Fast-Track Housing - Vacant</t>
  </si>
  <si>
    <t>Tax Millage</t>
  </si>
  <si>
    <t>Millage Rate</t>
  </si>
  <si>
    <t>Improvement Millages</t>
  </si>
  <si>
    <t>OPRA</t>
  </si>
  <si>
    <t>OPRA +</t>
  </si>
  <si>
    <t>PA-210</t>
  </si>
  <si>
    <t>NEZ-R</t>
  </si>
  <si>
    <t>NEZ-N</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</si>
  <si>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</si>
  <si>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</si>
  <si>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</si>
  <si>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</si>
  <si>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</si>
  <si>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</si>
  <si>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</si>
  <si>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</si>
  <si>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</si>
  <si>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</si>
  <si>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</si>
  <si>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</si>
  <si>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</si>
  <si>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</si>
  <si>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</si>
  <si>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</si>
  <si>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</si>
  <si>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</si>
  <si>
    <t>Data Validation List</t>
  </si>
  <si>
    <t>Bedroom Type</t>
  </si>
  <si>
    <t>% Income Restr</t>
  </si>
  <si>
    <t>Affordability Type</t>
  </si>
  <si>
    <t>Rent Restriction</t>
  </si>
  <si>
    <t>PILOT Program</t>
  </si>
  <si>
    <t>PILOT Abbrv</t>
  </si>
  <si>
    <t>PILOT Calc</t>
  </si>
  <si>
    <t>SWHP PILOT Rate</t>
  </si>
  <si>
    <t>Residential Type</t>
  </si>
  <si>
    <t>Y/N</t>
  </si>
  <si>
    <t>Income Restriction</t>
  </si>
  <si>
    <t>Min AMI</t>
  </si>
  <si>
    <t>Max AMI</t>
  </si>
  <si>
    <t>Construction Type</t>
  </si>
  <si>
    <t>Project Type</t>
  </si>
  <si>
    <t># of Persons</t>
  </si>
  <si>
    <t>UA Unit Type</t>
  </si>
  <si>
    <t>Interest-Only</t>
  </si>
  <si>
    <t>&lt; 60% AMI</t>
  </si>
  <si>
    <t>New Construction</t>
  </si>
  <si>
    <t>Market</t>
  </si>
  <si>
    <t>Government Aided Housing - Vacant (GAHP)</t>
  </si>
  <si>
    <t>Amortizing</t>
  </si>
  <si>
    <t>61% - 80% AMI</t>
  </si>
  <si>
    <t>Existing</t>
  </si>
  <si>
    <t>Occupied Rehab</t>
  </si>
  <si>
    <t>Attached Single Family</t>
  </si>
  <si>
    <t>PBV</t>
  </si>
  <si>
    <t>MSHDA AMI</t>
  </si>
  <si>
    <t>Government Aided Housing - Standard (GAHP)</t>
  </si>
  <si>
    <t>81% - 120% AMI</t>
  </si>
  <si>
    <t>Long Term Vacant Rehab</t>
  </si>
  <si>
    <t>Detached Single Family</t>
  </si>
  <si>
    <t>HCV</t>
  </si>
  <si>
    <t>HUD FMR</t>
  </si>
  <si>
    <t>Fast-Track Housing - Vacant (FTHP)</t>
  </si>
  <si>
    <t>Short Term Vacant Rehab</t>
  </si>
  <si>
    <t>Fast-Track Housing - Standard (FTHP)</t>
  </si>
  <si>
    <t>Income-Restricted</t>
  </si>
  <si>
    <t>Standard Workforce Housing (SWHP)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</si>
</sst>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lt; 60%&quot;"/>
    <numFmt numFmtId="177" formatCode="&quot;61% - 80%&quot;"/>
    <numFmt numFmtId="178" formatCode="&quot;81% - 120%&quot;"/>
    <numFmt numFmtId="179" formatCode="0.00%\ &quot;Occupied&quot;"/>
    <numFmt numFmtId="180" formatCode="0%\ &quot;vacancy&quot;"/>
    <numFmt numFmtId="181" formatCode="&quot;$&quot;#,##0\ &quot;/ unit&quot;"/>
    <numFmt numFmtId="182" formatCode="&quot;Year&quot;\ #"/>
    <numFmt numFmtId="183" formatCode="0%\ &quot;Occupied&quot;"/>
    <numFmt numFmtId="184" formatCode="0%\ &quot;AMI&quot;"/>
  </numFmts>
  <fonts count="22"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u/>
      <sz val="10"/>
      <color theme="1"/>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charset val="1"/>
    </font>
  </fonts>
  <fills count="12">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542">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10" fontId="6" fillId="0" borderId="5" xfId="0" applyNumberFormat="1" applyFont="1" applyBorder="1" applyAlignment="1">
      <alignment horizontal="center"/>
    </xf>
    <xf numFmtId="10" fontId="6" fillId="0" borderId="8" xfId="0" applyNumberFormat="1"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9" fontId="6" fillId="0" borderId="8" xfId="0" applyNumberFormat="1" applyFont="1" applyBorder="1" applyAlignment="1">
      <alignment horizontal="center"/>
    </xf>
    <xf numFmtId="164" fontId="6" fillId="0" borderId="9" xfId="1" applyNumberFormat="1" applyFont="1" applyBorder="1"/>
    <xf numFmtId="164" fontId="6" fillId="0" borderId="10" xfId="1" applyNumberFormat="1" applyFont="1" applyBorder="1"/>
    <xf numFmtId="164" fontId="1" fillId="0" borderId="16" xfId="0" applyNumberFormat="1" applyFont="1" applyBorder="1"/>
    <xf numFmtId="164" fontId="1" fillId="0" borderId="18" xfId="0" applyNumberFormat="1" applyFont="1" applyBorder="1"/>
    <xf numFmtId="164" fontId="1" fillId="0" borderId="17" xfId="0" applyNumberFormat="1"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1" xfId="0" applyFont="1" applyBorder="1" applyAlignment="1">
      <alignment horizontal="left" vertical="center" indent="1"/>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7" xfId="3" applyNumberFormat="1" applyFont="1" applyBorder="1" applyAlignment="1">
      <alignment vertical="center"/>
    </xf>
    <xf numFmtId="167" fontId="1" fillId="0" borderId="10" xfId="3" applyNumberFormat="1" applyFont="1" applyBorder="1" applyAlignment="1">
      <alignment vertical="center"/>
    </xf>
    <xf numFmtId="167" fontId="1" fillId="0" borderId="17"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1" fillId="0" borderId="6" xfId="0" applyNumberFormat="1" applyFont="1" applyBorder="1" applyAlignment="1">
      <alignment vertical="center"/>
    </xf>
    <xf numFmtId="165" fontId="9" fillId="0" borderId="6" xfId="0" applyNumberFormat="1" applyFont="1" applyBorder="1" applyAlignment="1">
      <alignment horizontal="right" vertical="center"/>
    </xf>
    <xf numFmtId="165" fontId="9" fillId="0" borderId="9" xfId="0" applyNumberFormat="1" applyFont="1" applyBorder="1" applyAlignment="1">
      <alignment horizontal="right" vertical="center"/>
    </xf>
    <xf numFmtId="165" fontId="9" fillId="0" borderId="16"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5" xfId="0" applyNumberFormat="1" applyFont="1" applyBorder="1" applyAlignment="1">
      <alignment vertical="center"/>
    </xf>
    <xf numFmtId="165" fontId="1" fillId="0" borderId="8" xfId="0" applyNumberFormat="1" applyFont="1" applyBorder="1" applyAlignment="1">
      <alignment vertical="center"/>
    </xf>
    <xf numFmtId="165" fontId="1" fillId="0" borderId="15" xfId="0" applyNumberFormat="1" applyFont="1" applyBorder="1" applyAlignment="1">
      <alignment vertical="center"/>
    </xf>
    <xf numFmtId="167" fontId="1" fillId="0" borderId="29" xfId="3" applyNumberFormat="1" applyFont="1" applyBorder="1" applyAlignment="1">
      <alignment vertical="center"/>
    </xf>
    <xf numFmtId="167" fontId="1" fillId="0" borderId="30" xfId="3" applyNumberFormat="1" applyFont="1" applyBorder="1" applyAlignment="1">
      <alignment vertical="center"/>
    </xf>
    <xf numFmtId="167" fontId="1" fillId="0" borderId="18"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19" xfId="3" applyNumberFormat="1"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1" fillId="0" borderId="0" xfId="0" applyFont="1" applyAlignment="1">
      <alignment horizontal="left" vertical="center" indent="1"/>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0" fontId="4" fillId="0" borderId="26" xfId="0" applyFont="1" applyBorder="1"/>
    <xf numFmtId="172" fontId="4" fillId="0" borderId="6" xfId="0" applyNumberFormat="1"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5" borderId="26" xfId="0" applyFont="1" applyFill="1" applyBorder="1" applyAlignment="1">
      <alignment vertical="center"/>
    </xf>
    <xf numFmtId="0" fontId="7" fillId="5" borderId="6" xfId="0" applyFont="1" applyFill="1" applyBorder="1" applyAlignment="1">
      <alignment horizontal="center" vertical="center"/>
    </xf>
    <xf numFmtId="166" fontId="7" fillId="5" borderId="6" xfId="3" applyNumberFormat="1" applyFont="1" applyFill="1" applyBorder="1" applyAlignment="1">
      <alignment vertical="center"/>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0" fontId="7" fillId="5" borderId="16" xfId="0" applyFont="1" applyFill="1" applyBorder="1" applyAlignment="1">
      <alignment horizontal="center" vertical="center"/>
    </xf>
    <xf numFmtId="165" fontId="7" fillId="5" borderId="5" xfId="0" applyNumberFormat="1" applyFont="1" applyFill="1" applyBorder="1" applyAlignment="1">
      <alignment vertical="center"/>
    </xf>
    <xf numFmtId="165" fontId="7" fillId="5" borderId="8" xfId="0" applyNumberFormat="1" applyFont="1" applyFill="1" applyBorder="1" applyAlignment="1">
      <alignment vertical="center"/>
    </xf>
    <xf numFmtId="9" fontId="7" fillId="5" borderId="6" xfId="2" applyFont="1" applyFill="1" applyBorder="1" applyAlignment="1">
      <alignment horizontal="center" vertical="center"/>
    </xf>
    <xf numFmtId="9" fontId="7" fillId="5" borderId="9" xfId="2" applyFont="1" applyFill="1" applyBorder="1" applyAlignment="1">
      <alignment horizontal="center" vertical="center"/>
    </xf>
    <xf numFmtId="9" fontId="7" fillId="5" borderId="16" xfId="2" applyFont="1" applyFill="1" applyBorder="1" applyAlignment="1">
      <alignment horizontal="center"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7" fillId="5" borderId="29" xfId="0" applyFont="1" applyFill="1" applyBorder="1" applyAlignment="1">
      <alignment horizontal="left" vertical="center" indent="1"/>
    </xf>
    <xf numFmtId="0" fontId="7" fillId="5" borderId="30" xfId="0" applyFont="1" applyFill="1" applyBorder="1" applyAlignment="1">
      <alignment horizontal="left" vertical="center" indent="1"/>
    </xf>
    <xf numFmtId="0" fontId="4" fillId="0" borderId="29" xfId="0" applyFont="1" applyBorder="1" applyAlignment="1">
      <alignment horizontal="left" vertical="center" indent="2"/>
    </xf>
    <xf numFmtId="0" fontId="7" fillId="5" borderId="2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0" fontId="1" fillId="0" borderId="24" xfId="0" applyFont="1" applyBorder="1" applyAlignment="1">
      <alignment horizontal="center"/>
    </xf>
    <xf numFmtId="0" fontId="1" fillId="0" borderId="12"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4" fillId="0" borderId="32" xfId="0" applyFont="1" applyBorder="1" applyAlignment="1">
      <alignment horizontal="center"/>
    </xf>
    <xf numFmtId="166" fontId="7" fillId="5" borderId="29" xfId="3" applyNumberFormat="1" applyFont="1" applyFill="1" applyBorder="1" applyAlignment="1">
      <alignment horizontal="center" vertical="center"/>
    </xf>
    <xf numFmtId="166" fontId="7" fillId="5" borderId="30" xfId="3" applyNumberFormat="1" applyFont="1" applyFill="1" applyBorder="1" applyAlignment="1">
      <alignment horizontal="center" vertical="center"/>
    </xf>
    <xf numFmtId="9" fontId="7" fillId="5" borderId="26" xfId="2" applyFont="1" applyFill="1" applyBorder="1" applyAlignment="1">
      <alignment horizontal="center" vertical="center"/>
    </xf>
    <xf numFmtId="9" fontId="7" fillId="5" borderId="27" xfId="2" applyFont="1" applyFill="1" applyBorder="1" applyAlignment="1">
      <alignment horizontal="center" vertical="center"/>
    </xf>
    <xf numFmtId="9" fontId="7" fillId="5" borderId="28" xfId="2"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166" fontId="6" fillId="0" borderId="29" xfId="3" applyNumberFormat="1" applyFont="1" applyFill="1" applyBorder="1" applyAlignment="1">
      <alignment horizontal="center" vertical="center"/>
    </xf>
    <xf numFmtId="166" fontId="6" fillId="0" borderId="30" xfId="3" applyNumberFormat="1" applyFont="1" applyFill="1" applyBorder="1" applyAlignment="1">
      <alignment vertical="center"/>
    </xf>
    <xf numFmtId="0" fontId="4" fillId="0" borderId="0" xfId="0" applyFont="1" applyAlignment="1">
      <alignment horizontal="left"/>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5" xfId="3" applyNumberFormat="1" applyFont="1" applyFill="1" applyBorder="1" applyAlignment="1">
      <alignment horizontal="center"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4" fillId="6" borderId="4" xfId="0" applyFont="1" applyFill="1" applyBorder="1" applyAlignment="1">
      <alignment horizontal="center"/>
    </xf>
    <xf numFmtId="0" fontId="4" fillId="2" borderId="24" xfId="0" applyFont="1" applyFill="1" applyBorder="1" applyAlignment="1">
      <alignment horizontal="center"/>
    </xf>
    <xf numFmtId="0" fontId="4" fillId="2" borderId="12" xfId="0" applyFont="1" applyFill="1" applyBorder="1" applyAlignment="1">
      <alignment horizontal="center"/>
    </xf>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7" fillId="5" borderId="26" xfId="2" applyNumberFormat="1" applyFont="1" applyFill="1" applyBorder="1" applyAlignment="1">
      <alignment horizontal="center" vertical="center"/>
    </xf>
    <xf numFmtId="164" fontId="7" fillId="5" borderId="27" xfId="2" applyNumberFormat="1" applyFont="1" applyFill="1" applyBorder="1" applyAlignment="1">
      <alignment horizontal="center" vertical="center"/>
    </xf>
    <xf numFmtId="164" fontId="7" fillId="5" borderId="28" xfId="2" applyNumberFormat="1" applyFont="1" applyFill="1" applyBorder="1" applyAlignment="1">
      <alignment horizontal="center" vertical="center"/>
    </xf>
    <xf numFmtId="164" fontId="6" fillId="0" borderId="6" xfId="1" applyNumberFormat="1" applyFont="1" applyBorder="1"/>
    <xf numFmtId="164" fontId="6" fillId="0" borderId="7" xfId="1" applyNumberFormat="1" applyFont="1" applyBorder="1"/>
    <xf numFmtId="0" fontId="7" fillId="5" borderId="26" xfId="2" applyNumberFormat="1" applyFont="1" applyFill="1" applyBorder="1" applyAlignment="1">
      <alignment horizontal="center" vertical="center"/>
    </xf>
    <xf numFmtId="0" fontId="7" fillId="5" borderId="27" xfId="2" applyNumberFormat="1" applyFont="1" applyFill="1" applyBorder="1" applyAlignment="1">
      <alignment horizontal="center" vertical="center"/>
    </xf>
    <xf numFmtId="0" fontId="7" fillId="5" borderId="28"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76" fontId="6" fillId="0" borderId="5" xfId="0" applyNumberFormat="1" applyFont="1" applyBorder="1" applyAlignment="1">
      <alignment horizontal="center"/>
    </xf>
    <xf numFmtId="177" fontId="6" fillId="0" borderId="8"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8" borderId="1" xfId="0" applyFont="1" applyFill="1" applyBorder="1" applyAlignment="1">
      <alignment vertical="center"/>
    </xf>
    <xf numFmtId="0" fontId="4" fillId="8" borderId="2" xfId="0" applyFont="1" applyFill="1" applyBorder="1" applyAlignment="1">
      <alignment vertical="center"/>
    </xf>
    <xf numFmtId="0" fontId="4" fillId="8" borderId="3" xfId="0" applyFont="1" applyFill="1" applyBorder="1" applyAlignment="1">
      <alignment vertical="center"/>
    </xf>
    <xf numFmtId="0" fontId="1" fillId="0" borderId="22" xfId="0" applyFont="1" applyBorder="1"/>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6" xfId="0" applyNumberFormat="1" applyFont="1" applyFill="1" applyBorder="1"/>
    <xf numFmtId="164" fontId="7" fillId="5" borderId="24" xfId="0" applyNumberFormat="1" applyFont="1" applyFill="1" applyBorder="1"/>
    <xf numFmtId="164" fontId="7" fillId="5" borderId="9" xfId="0" applyNumberFormat="1" applyFont="1" applyFill="1" applyBorder="1" applyAlignment="1">
      <alignment horizontal="center"/>
    </xf>
    <xf numFmtId="164" fontId="7" fillId="5" borderId="12" xfId="0" applyNumberFormat="1" applyFont="1" applyFill="1" applyBorder="1" applyAlignment="1">
      <alignment horizontal="center"/>
    </xf>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6" xfId="2" applyFont="1" applyFill="1" applyBorder="1" applyAlignment="1">
      <alignment horizontal="center" vertic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9" fontId="4" fillId="0" borderId="18" xfId="0" applyNumberFormat="1" applyFont="1" applyBorder="1" applyAlignment="1">
      <alignment horizontal="center" vertical="center"/>
    </xf>
    <xf numFmtId="0" fontId="1" fillId="2" borderId="4" xfId="0" applyFont="1" applyFill="1" applyBorder="1"/>
    <xf numFmtId="0" fontId="1" fillId="0" borderId="19" xfId="0" applyFont="1" applyBorder="1"/>
    <xf numFmtId="0" fontId="1" fillId="0" borderId="21" xfId="0" applyFont="1" applyBorder="1"/>
    <xf numFmtId="0" fontId="1" fillId="0" borderId="19" xfId="0" applyFont="1" applyBorder="1" applyAlignment="1">
      <alignment horizontal="center"/>
    </xf>
    <xf numFmtId="0" fontId="1" fillId="0" borderId="20" xfId="0" applyFont="1" applyBorder="1" applyAlignment="1">
      <alignment horizontal="center"/>
    </xf>
    <xf numFmtId="165" fontId="1" fillId="0" borderId="0" xfId="0" applyNumberFormat="1" applyFont="1"/>
    <xf numFmtId="0" fontId="18" fillId="11" borderId="3" xfId="0" applyFont="1" applyFill="1" applyBorder="1" applyAlignment="1">
      <alignment horizontal="center" vertical="center"/>
    </xf>
    <xf numFmtId="180"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1"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8" fontId="6" fillId="0" borderId="15" xfId="0" applyNumberFormat="1" applyFont="1" applyBorder="1" applyAlignment="1">
      <alignment horizontal="center"/>
    </xf>
    <xf numFmtId="0" fontId="9" fillId="0" borderId="16" xfId="0" applyFont="1" applyBorder="1" applyAlignment="1">
      <alignment horizontal="center"/>
    </xf>
    <xf numFmtId="10" fontId="9" fillId="0" borderId="16" xfId="0" applyNumberFormat="1" applyFont="1" applyBorder="1" applyAlignment="1">
      <alignment horizontal="center"/>
    </xf>
    <xf numFmtId="10" fontId="9" fillId="0" borderId="17"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172" fontId="5" fillId="0" borderId="7" xfId="0" applyNumberFormat="1" applyFont="1" applyBorder="1"/>
    <xf numFmtId="0" fontId="6" fillId="0" borderId="4" xfId="0" applyFont="1" applyBorder="1" applyAlignment="1">
      <alignment horizontal="center"/>
    </xf>
    <xf numFmtId="0" fontId="7" fillId="5" borderId="22" xfId="0" applyFont="1" applyFill="1" applyBorder="1" applyAlignment="1">
      <alignment vertical="center"/>
    </xf>
    <xf numFmtId="0" fontId="7" fillId="5" borderId="11" xfId="0" applyFont="1" applyFill="1" applyBorder="1" applyAlignment="1">
      <alignment vertic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0" fontId="4" fillId="0" borderId="1" xfId="0" applyFont="1" applyBorder="1" applyAlignment="1">
      <alignment horizontal="left" vertical="center"/>
    </xf>
    <xf numFmtId="0" fontId="7" fillId="5" borderId="26" xfId="0" applyFont="1" applyFill="1" applyBorder="1" applyAlignment="1">
      <alignment horizontal="left" vertical="center" indent="1"/>
    </xf>
    <xf numFmtId="0" fontId="4" fillId="0" borderId="26" xfId="0" applyFont="1" applyBorder="1" applyAlignment="1">
      <alignment horizontal="left" vertical="center" indent="2"/>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7" fillId="5" borderId="26" xfId="0" applyNumberFormat="1" applyFont="1" applyFill="1" applyBorder="1" applyAlignment="1">
      <alignment vertical="center"/>
    </xf>
    <xf numFmtId="164" fontId="7" fillId="5" borderId="27" xfId="0" applyNumberFormat="1" applyFont="1" applyFill="1" applyBorder="1" applyAlignment="1">
      <alignment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9" fontId="7" fillId="5" borderId="22" xfId="0" applyNumberFormat="1" applyFont="1" applyFill="1" applyBorder="1" applyAlignment="1">
      <alignment horizontal="center"/>
    </xf>
    <xf numFmtId="9" fontId="7" fillId="5" borderId="11" xfId="0" applyNumberFormat="1" applyFont="1" applyFill="1" applyBorder="1" applyAlignment="1">
      <alignment horizontal="center"/>
    </xf>
    <xf numFmtId="0" fontId="1" fillId="0" borderId="1" xfId="0" applyFont="1" applyBorder="1"/>
    <xf numFmtId="9" fontId="4" fillId="0" borderId="1" xfId="0" applyNumberFormat="1" applyFont="1" applyBorder="1"/>
    <xf numFmtId="182"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3" fontId="4" fillId="0" borderId="18" xfId="0" applyNumberFormat="1" applyFont="1" applyBorder="1" applyAlignment="1">
      <alignment horizontal="center" vertical="center"/>
    </xf>
    <xf numFmtId="184"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7" fillId="5" borderId="30" xfId="0" applyFont="1" applyFill="1" applyBorder="1" applyAlignment="1">
      <alignment horizontal="center" vertical="center"/>
    </xf>
    <xf numFmtId="0" fontId="4" fillId="0" borderId="24"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2" borderId="3" xfId="0" applyFont="1" applyFill="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7" borderId="53" xfId="0" applyFont="1" applyFill="1" applyBorder="1" applyAlignment="1">
      <alignment vertical="top" wrapText="1"/>
    </xf>
    <xf numFmtId="0" fontId="1" fillId="7" borderId="54" xfId="0" applyFont="1" applyFill="1" applyBorder="1" applyAlignment="1">
      <alignment vertical="top" wrapText="1"/>
    </xf>
    <xf numFmtId="0" fontId="1" fillId="7" borderId="55" xfId="0" applyFont="1" applyFill="1" applyBorder="1" applyAlignment="1">
      <alignment vertical="top" wrapText="1"/>
    </xf>
    <xf numFmtId="0" fontId="1" fillId="7" borderId="56" xfId="0" applyFont="1" applyFill="1" applyBorder="1" applyAlignment="1">
      <alignment vertical="top" wrapText="1"/>
    </xf>
    <xf numFmtId="0" fontId="1" fillId="7" borderId="0" xfId="0" applyFont="1" applyFill="1" applyAlignment="1">
      <alignment vertical="top" wrapText="1"/>
    </xf>
    <xf numFmtId="0" fontId="1" fillId="7" borderId="57" xfId="0" applyFont="1" applyFill="1" applyBorder="1" applyAlignment="1">
      <alignment vertical="top" wrapText="1"/>
    </xf>
    <xf numFmtId="0" fontId="1" fillId="7" borderId="58" xfId="0" applyFont="1" applyFill="1" applyBorder="1" applyAlignment="1">
      <alignment vertical="top" wrapText="1"/>
    </xf>
    <xf numFmtId="0" fontId="1" fillId="7" borderId="59" xfId="0" applyFont="1" applyFill="1" applyBorder="1" applyAlignment="1">
      <alignment vertical="top" wrapText="1"/>
    </xf>
    <xf numFmtId="0" fontId="1" fillId="7" borderId="60" xfId="0" applyFont="1" applyFill="1" applyBorder="1" applyAlignment="1">
      <alignment vertical="top" wrapText="1"/>
    </xf>
    <xf numFmtId="0" fontId="7" fillId="5" borderId="30"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24"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xf numFmtId="0" fontId="4" fillId="0" borderId="3" xfId="0" applyFont="1" applyBorder="1"/>
    <xf numFmtId="9" fontId="7" fillId="5" borderId="30" xfId="2" applyFont="1" applyFill="1" applyBorder="1" applyAlignment="1">
      <alignment horizontal="center" vertical="center"/>
    </xf>
    <xf numFmtId="9" fontId="7" fillId="5" borderId="12" xfId="2" applyFont="1" applyFill="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 fillId="7" borderId="22" xfId="0" applyFont="1" applyFill="1" applyBorder="1" applyAlignment="1">
      <alignment vertical="top" wrapText="1"/>
    </xf>
    <xf numFmtId="0" fontId="1" fillId="7" borderId="23" xfId="0" applyFont="1" applyFill="1" applyBorder="1" applyAlignment="1">
      <alignment vertical="top" wrapText="1"/>
    </xf>
    <xf numFmtId="0" fontId="1" fillId="7" borderId="24" xfId="0" applyFont="1" applyFill="1" applyBorder="1" applyAlignment="1">
      <alignment vertical="top" wrapText="1"/>
    </xf>
    <xf numFmtId="0" fontId="1" fillId="7" borderId="11" xfId="0" applyFont="1" applyFill="1" applyBorder="1" applyAlignment="1">
      <alignment vertical="top" wrapText="1"/>
    </xf>
    <xf numFmtId="0" fontId="1" fillId="7" borderId="12" xfId="0" applyFont="1" applyFill="1" applyBorder="1" applyAlignment="1">
      <alignment vertical="top" wrapText="1"/>
    </xf>
    <xf numFmtId="0" fontId="1" fillId="7" borderId="13" xfId="0" applyFont="1" applyFill="1" applyBorder="1" applyAlignment="1">
      <alignment vertical="top" wrapText="1"/>
    </xf>
    <xf numFmtId="0" fontId="1" fillId="7" borderId="25" xfId="0" applyFont="1" applyFill="1" applyBorder="1" applyAlignment="1">
      <alignment vertical="top" wrapText="1"/>
    </xf>
    <xf numFmtId="0" fontId="1" fillId="7" borderId="14" xfId="0" applyFont="1" applyFill="1" applyBorder="1" applyAlignment="1">
      <alignment vertical="top"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wrapText="1"/>
    </xf>
    <xf numFmtId="0" fontId="4" fillId="9" borderId="19"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10" borderId="19"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4" borderId="1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2">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009900"/>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50"/>
  <sheetViews>
    <sheetView showGridLines="0" tabSelected="1" zoomScale="130" zoomScaleNormal="130" workbookViewId="0"/>
  </sheetViews>
  <sheetFormatPr defaultColWidth="15.6640625" defaultRowHeight="13.8" x14ac:dyDescent="0.3"/>
  <cols>
    <col min="1" max="1" width="2.6640625" style="1" customWidth="1"/>
    <col min="2" max="3" width="15.6640625" style="1"/>
    <col min="4" max="4" width="15.6640625" style="1" customWidth="1"/>
    <col min="5" max="11" width="15.6640625" style="1"/>
    <col min="12" max="12" width="17" style="1" bestFit="1" customWidth="1"/>
    <col min="13" max="16384" width="15.6640625" style="1"/>
  </cols>
  <sheetData>
    <row r="1" spans="2:14" s="4" customFormat="1" ht="15.6" x14ac:dyDescent="0.3">
      <c r="B1" s="4" t="s">
        <v>0</v>
      </c>
    </row>
    <row r="2" spans="2:14" s="5" customFormat="1" ht="15" customHeight="1" x14ac:dyDescent="0.3">
      <c r="B2" s="5" t="s">
        <v>1</v>
      </c>
    </row>
    <row r="3" spans="2:14" s="5" customFormat="1" ht="15" customHeight="1" thickBot="1" x14ac:dyDescent="0.35"/>
    <row r="4" spans="2:14" s="5" customFormat="1" ht="15" customHeight="1" x14ac:dyDescent="0.3">
      <c r="B4" s="457" t="s">
        <v>2</v>
      </c>
      <c r="C4" s="458"/>
      <c r="D4" s="458"/>
      <c r="E4" s="458"/>
      <c r="F4" s="458"/>
      <c r="G4" s="459"/>
      <c r="H4"/>
    </row>
    <row r="5" spans="2:14" s="5" customFormat="1" ht="15" customHeight="1" x14ac:dyDescent="0.3">
      <c r="B5" s="460"/>
      <c r="C5" s="461"/>
      <c r="D5" s="461"/>
      <c r="E5" s="461"/>
      <c r="F5" s="461"/>
      <c r="G5" s="462"/>
      <c r="H5"/>
    </row>
    <row r="6" spans="2:14" s="5" customFormat="1" ht="15" customHeight="1" x14ac:dyDescent="0.3">
      <c r="B6" s="460"/>
      <c r="C6" s="461"/>
      <c r="D6" s="461"/>
      <c r="E6" s="461"/>
      <c r="F6" s="461"/>
      <c r="G6" s="462"/>
      <c r="H6"/>
    </row>
    <row r="7" spans="2:14" s="5" customFormat="1" ht="15" customHeight="1" thickBot="1" x14ac:dyDescent="0.35">
      <c r="B7" s="463"/>
      <c r="C7" s="464"/>
      <c r="D7" s="464"/>
      <c r="E7" s="464"/>
      <c r="F7" s="464"/>
      <c r="G7" s="465"/>
      <c r="H7"/>
    </row>
    <row r="8" spans="2:14" s="5" customFormat="1" ht="15" customHeight="1" x14ac:dyDescent="0.3">
      <c r="B8" s="69"/>
    </row>
    <row r="9" spans="2:14" s="5" customFormat="1" ht="15" customHeight="1" x14ac:dyDescent="0.3">
      <c r="B9" s="70" t="s">
        <v>3</v>
      </c>
      <c r="C9" s="221" t="s">
        <v>4</v>
      </c>
      <c r="D9" s="71" t="s">
        <v>5</v>
      </c>
      <c r="E9" s="72" t="s">
        <v>6</v>
      </c>
    </row>
    <row r="12" spans="2:14" x14ac:dyDescent="0.3">
      <c r="B12" s="41" t="s">
        <v>7</v>
      </c>
      <c r="C12" s="206"/>
      <c r="D12" s="206"/>
      <c r="E12" s="206"/>
      <c r="F12" s="206"/>
      <c r="G12" s="207"/>
      <c r="H12" s="5"/>
      <c r="I12" s="6" t="s">
        <v>8</v>
      </c>
      <c r="J12" s="9"/>
      <c r="K12" s="9"/>
      <c r="L12" s="9"/>
      <c r="M12" s="9"/>
      <c r="N12" s="89"/>
    </row>
    <row r="13" spans="2:14" ht="12.75" customHeight="1" x14ac:dyDescent="0.3">
      <c r="B13" s="33" t="s">
        <v>9</v>
      </c>
      <c r="C13" s="5"/>
      <c r="D13" s="5"/>
      <c r="E13" s="37"/>
      <c r="F13" s="468"/>
      <c r="G13" s="469"/>
      <c r="H13" s="119"/>
      <c r="I13" s="454" t="s">
        <v>10</v>
      </c>
      <c r="J13" s="454" t="s">
        <v>11</v>
      </c>
      <c r="K13" s="454" t="s">
        <v>12</v>
      </c>
      <c r="L13" s="454" t="s">
        <v>13</v>
      </c>
      <c r="M13" s="454" t="s">
        <v>14</v>
      </c>
      <c r="N13" s="454" t="s">
        <v>15</v>
      </c>
    </row>
    <row r="14" spans="2:14" x14ac:dyDescent="0.3">
      <c r="B14" s="33" t="s">
        <v>16</v>
      </c>
      <c r="C14" s="5"/>
      <c r="D14" s="5"/>
      <c r="E14" s="37"/>
      <c r="F14" s="474"/>
      <c r="G14" s="475"/>
      <c r="H14" s="446" t="str">
        <f ca="1">IFERROR(AND('Rent Roll'!$K$124&lt;=INDEX(List!$AA:$AA,MATCH($F14,List!$Y:$Y,0)),'Rent Roll'!$K$124&gt;=INDEX(List!$Z:$Z,MATCH($F14,List!$Y:$Y,0))),"NA")</f>
        <v>NA</v>
      </c>
      <c r="I14" s="455"/>
      <c r="J14" s="455"/>
      <c r="K14" s="455"/>
      <c r="L14" s="455"/>
      <c r="M14" s="455"/>
      <c r="N14" s="455"/>
    </row>
    <row r="15" spans="2:14" x14ac:dyDescent="0.3">
      <c r="B15" s="33" t="s">
        <v>17</v>
      </c>
      <c r="C15" s="5"/>
      <c r="D15" s="5"/>
      <c r="E15" s="37"/>
      <c r="F15" s="466"/>
      <c r="G15" s="467"/>
      <c r="H15" s="119"/>
      <c r="I15" s="455"/>
      <c r="J15" s="456"/>
      <c r="K15" s="456"/>
      <c r="L15" s="456"/>
      <c r="M15" s="456"/>
      <c r="N15" s="456"/>
    </row>
    <row r="16" spans="2:14" x14ac:dyDescent="0.3">
      <c r="B16" s="33" t="s">
        <v>18</v>
      </c>
      <c r="C16" s="5"/>
      <c r="D16" s="5"/>
      <c r="E16" s="37"/>
      <c r="F16" s="466"/>
      <c r="G16" s="467"/>
      <c r="H16" s="446" t="str">
        <f ca="1">IF(AND($F$16="Y",'Rent Roll'!$K$125&lt;1),FALSE,
IF(AND($F$16="N",'Rent Roll'!$K$125&lt;1),TRUE,
IF(AND($F$16="Y",'Rent Roll'!$K$125=1),TRUE,
IF(AND($F$16="N",'Rent Roll'!$K$125=1),FALSE,"NA"))))</f>
        <v>NA</v>
      </c>
      <c r="I16" s="456"/>
      <c r="J16" s="433" t="s">
        <v>19</v>
      </c>
      <c r="K16" s="433" t="s">
        <v>20</v>
      </c>
      <c r="L16" s="433" t="s">
        <v>21</v>
      </c>
      <c r="M16" s="433" t="s">
        <v>22</v>
      </c>
      <c r="N16" s="433" t="s">
        <v>23</v>
      </c>
    </row>
    <row r="17" spans="2:18" x14ac:dyDescent="0.3">
      <c r="B17" s="33" t="s">
        <v>24</v>
      </c>
      <c r="C17" s="5"/>
      <c r="D17" s="5"/>
      <c r="E17" s="37"/>
      <c r="F17" s="466"/>
      <c r="G17" s="467"/>
      <c r="H17" s="119"/>
      <c r="I17" s="343">
        <v>0.6</v>
      </c>
      <c r="J17" s="340">
        <f>INDEX(Data!$M$32:$Q$42,MATCH(Overview!$I17,Data!$L$32:$L$42,0),MATCH(Overview!J$16,Data!$M$31:$Q$31,0))</f>
        <v>5.0000000000000001E-3</v>
      </c>
      <c r="K17" s="340">
        <f>INDEX(Data!$M$32:$Q$42,MATCH(Overview!$I17,Data!$L$32:$L$42,0),MATCH(Overview!K$16,Data!$M$31:$Q$31,0))</f>
        <v>0.01</v>
      </c>
      <c r="L17" s="340">
        <f>INDEX(Data!$M$32:$Q$42,MATCH(Overview!$I17,Data!$L$32:$L$42,0),MATCH(Overview!L$16,Data!$M$31:$Q$31,0))</f>
        <v>5.0000000000000001E-3</v>
      </c>
      <c r="M17" s="340">
        <f>INDEX(Data!$M$32:$Q$42,MATCH(Overview!$I17,Data!$L$32:$L$42,0),MATCH(Overview!M$16,Data!$M$31:$Q$31,0))</f>
        <v>0.01</v>
      </c>
      <c r="N17" s="341" t="str">
        <f>INDEX(Data!$M$32:$Q$42,MATCH(Overview!$I17,Data!$L$32:$L$42,0),MATCH(Overview!N$16,Data!$M$31:$Q$31,0))</f>
        <v>TBD</v>
      </c>
    </row>
    <row r="18" spans="2:18" x14ac:dyDescent="0.3">
      <c r="B18" s="33" t="s">
        <v>25</v>
      </c>
      <c r="C18" s="5"/>
      <c r="D18" s="5"/>
      <c r="E18" s="37"/>
      <c r="F18" s="476" t="str">
        <f>IF($F$14="81% - 120% AMI","Standard Workforce Housing (SWHP)",
IF(AND($F$13="Long Term Vacant Rehab",$F$15="Y"),"Government Aided Housing - Vacant (GAHP)",
IF(AND(OR($F$13="Short Term Vacant Rehab",$F$13="Occupied Rehab",$F$13="New Construction"),$F$15="Y"),"Government Aided Housing - Standard (GAHP)",
IF(AND($F$13="Long Term Vacant Rehab",$F$15="N"),"Fast-Track Housing - Vacant (FTHP)",
IF(AND(OR($F$13="Short Term Vacant Rehab",$F$13="Occupied Rehab",$F$13="New Construction"),$F$15="N"),"Fast-Track Housing - Standard (FTHP)","NA")))))</f>
        <v>NA</v>
      </c>
      <c r="G18" s="477"/>
      <c r="H18" s="5"/>
      <c r="I18" s="344">
        <v>0.8</v>
      </c>
      <c r="J18" s="342">
        <f>INDEX(Data!$M$32:$Q$42,MATCH(Overview!$I18,Data!$L$32:$L$42,0),MATCH(Overview!J$16,Data!$M$31:$Q$31,0))</f>
        <v>0.02</v>
      </c>
      <c r="K18" s="342">
        <f>INDEX(Data!$M$32:$Q$42,MATCH(Overview!$I18,Data!$L$32:$L$42,0),MATCH(Overview!K$16,Data!$M$31:$Q$31,0))</f>
        <v>0.04</v>
      </c>
      <c r="L18" s="342">
        <f>INDEX(Data!$M$32:$Q$42,MATCH(Overview!$I18,Data!$L$32:$L$42,0),MATCH(Overview!L$16,Data!$M$31:$Q$31,0))</f>
        <v>0.02</v>
      </c>
      <c r="M18" s="342">
        <f>INDEX(Data!$M$32:$Q$42,MATCH(Overview!$I18,Data!$L$32:$L$42,0),MATCH(Overview!M$16,Data!$M$31:$Q$31,0))</f>
        <v>0.04</v>
      </c>
      <c r="N18" s="197" t="str">
        <f>INDEX(Data!$M$32:$Q$42,MATCH(Overview!$I18,Data!$L$32:$L$42,0),MATCH(Overview!N$16,Data!$M$31:$Q$31,0))</f>
        <v>TBD</v>
      </c>
    </row>
    <row r="19" spans="2:18" x14ac:dyDescent="0.3">
      <c r="B19" s="205"/>
      <c r="C19" s="35"/>
      <c r="D19" s="35"/>
      <c r="E19" s="39"/>
      <c r="F19" s="478"/>
      <c r="G19" s="479"/>
      <c r="H19" s="5"/>
      <c r="I19" s="378">
        <v>1.2</v>
      </c>
      <c r="J19" s="379" t="str">
        <f>INDEX(Data!$M$32:$Q$42,MATCH(Overview!$I19,Data!$L$32:$L$42,0),MATCH(Overview!J$16,Data!$M$31:$Q$31,0))</f>
        <v>NA</v>
      </c>
      <c r="K19" s="379" t="str">
        <f>INDEX(Data!$M$32:$Q$42,MATCH(Overview!$I19,Data!$L$32:$L$42,0),MATCH(Overview!K$16,Data!$M$31:$Q$31,0))</f>
        <v>NA</v>
      </c>
      <c r="L19" s="380">
        <f>INDEX(Data!$M$32:$Q$42,MATCH(Overview!$I19,Data!$L$32:$L$42,0),MATCH(Overview!L$16,Data!$M$31:$Q$31,0))</f>
        <v>3.5000000000000003E-2</v>
      </c>
      <c r="M19" s="379" t="str">
        <f>INDEX(Data!$M$32:$Q$42,MATCH(Overview!$I19,Data!$L$32:$L$42,0),MATCH(Overview!M$16,Data!$M$31:$Q$31,0))</f>
        <v>NA</v>
      </c>
      <c r="N19" s="381" t="str">
        <f>INDEX(Data!$M$32:$Q$42,MATCH(Overview!$I19,Data!$L$32:$L$42,0),MATCH(Overview!N$16,Data!$M$31:$Q$31,0))</f>
        <v>TBD</v>
      </c>
    </row>
    <row r="22" spans="2:18" x14ac:dyDescent="0.3">
      <c r="B22" s="41" t="s">
        <v>26</v>
      </c>
      <c r="C22" s="42"/>
      <c r="D22" s="43"/>
      <c r="F22" s="6" t="s">
        <v>27</v>
      </c>
      <c r="G22" s="9"/>
      <c r="H22" s="9"/>
      <c r="I22" s="9"/>
      <c r="J22" s="89"/>
      <c r="L22" s="6" t="s">
        <v>28</v>
      </c>
      <c r="M22" s="9"/>
      <c r="N22" s="9"/>
      <c r="O22" s="9"/>
      <c r="P22" s="9"/>
      <c r="Q22" s="9"/>
      <c r="R22" s="89"/>
    </row>
    <row r="23" spans="2:18" x14ac:dyDescent="0.3">
      <c r="B23" s="470" t="s">
        <v>29</v>
      </c>
      <c r="C23" s="471"/>
      <c r="D23" s="432" t="s">
        <v>30</v>
      </c>
      <c r="F23" s="472" t="s">
        <v>29</v>
      </c>
      <c r="G23" s="473"/>
      <c r="H23" s="361" t="s">
        <v>31</v>
      </c>
      <c r="I23" s="361" t="s">
        <v>32</v>
      </c>
      <c r="J23" s="361" t="s">
        <v>33</v>
      </c>
      <c r="L23" s="361" t="s">
        <v>34</v>
      </c>
      <c r="M23" s="361" t="s">
        <v>35</v>
      </c>
      <c r="N23" s="361" t="s">
        <v>36</v>
      </c>
      <c r="O23" s="361" t="s">
        <v>37</v>
      </c>
      <c r="P23" s="361" t="s">
        <v>38</v>
      </c>
      <c r="Q23" s="361" t="s">
        <v>39</v>
      </c>
      <c r="R23" s="313" t="s">
        <v>40</v>
      </c>
    </row>
    <row r="24" spans="2:18" x14ac:dyDescent="0.3">
      <c r="B24" s="31" t="s">
        <v>41</v>
      </c>
      <c r="C24" s="36"/>
      <c r="D24" s="222"/>
      <c r="F24" s="303" t="s">
        <v>42</v>
      </c>
      <c r="G24" s="304"/>
      <c r="H24" s="305"/>
      <c r="I24" s="305"/>
      <c r="J24" s="306"/>
      <c r="L24" s="413" t="s">
        <v>43</v>
      </c>
      <c r="M24" s="276">
        <f>SUMIFS('Rent Roll'!$H$24:$H$123,'Rent Roll'!$E$24:$E$123,Overview!M$23,'Rent Roll'!$K$24:$K$123,Overview!$L24)</f>
        <v>0</v>
      </c>
      <c r="N24" s="276">
        <f>SUMIFS('Rent Roll'!$H$24:$H$123,'Rent Roll'!$E$24:$E$123,Overview!N$23,'Rent Roll'!$K$24:$K$123,Overview!$L24)</f>
        <v>0</v>
      </c>
      <c r="O24" s="276">
        <f>SUMIFS('Rent Roll'!$H$24:$H$123,'Rent Roll'!$E$24:$E$123,Overview!O$23,'Rent Roll'!$K$24:$K$123,Overview!$L24)</f>
        <v>0</v>
      </c>
      <c r="P24" s="276">
        <f>SUMIFS('Rent Roll'!$H$24:$H$123,'Rent Roll'!$E$24:$E$123,Overview!P$23,'Rent Roll'!$K$24:$K$123,Overview!$L24)</f>
        <v>0</v>
      </c>
      <c r="Q24" s="274">
        <f>SUMIFS('Rent Roll'!$H$24:$H$123,'Rent Roll'!$E$24:$E$123,Overview!Q$23,'Rent Roll'!$K$24:$K$123,Overview!$L24)</f>
        <v>0</v>
      </c>
      <c r="R24" s="314">
        <f>SUM(M24:Q24)</f>
        <v>0</v>
      </c>
    </row>
    <row r="25" spans="2:18" x14ac:dyDescent="0.3">
      <c r="B25" s="33" t="s">
        <v>44</v>
      </c>
      <c r="C25" s="37"/>
      <c r="D25" s="223"/>
      <c r="F25" s="17" t="s">
        <v>45</v>
      </c>
      <c r="H25" s="311">
        <f>IF($F$18="Standard Workforce Housing (SWHP)",SWHP!P30,'FTHP &amp; GAHP'!M31)</f>
        <v>0</v>
      </c>
      <c r="I25" s="311">
        <f>IFERROR(H25/$D$32,0)</f>
        <v>0</v>
      </c>
      <c r="J25" s="364">
        <f>IFERROR(H25/$H$33,0)</f>
        <v>0</v>
      </c>
      <c r="L25" s="414">
        <v>0.3</v>
      </c>
      <c r="M25" s="277">
        <f>SUMIFS('Rent Roll'!$H$24:$H$123,'Rent Roll'!$E$24:$E$123,Overview!M$23,'Rent Roll'!$K$24:$K$123,Overview!$L25)</f>
        <v>0</v>
      </c>
      <c r="N25" s="277">
        <f>SUMIFS('Rent Roll'!$H$24:$H$123,'Rent Roll'!$E$24:$E$123,Overview!N$23,'Rent Roll'!$K$24:$K$123,Overview!$L25)</f>
        <v>0</v>
      </c>
      <c r="O25" s="277">
        <f>SUMIFS('Rent Roll'!$H$24:$H$123,'Rent Roll'!$E$24:$E$123,Overview!O$23,'Rent Roll'!$K$24:$K$123,Overview!$L25)</f>
        <v>0</v>
      </c>
      <c r="P25" s="277">
        <f>SUMIFS('Rent Roll'!$H$24:$H$123,'Rent Roll'!$E$24:$E$123,Overview!P$23,'Rent Roll'!$K$24:$K$123,Overview!$L25)</f>
        <v>0</v>
      </c>
      <c r="Q25" s="275">
        <f>SUMIFS('Rent Roll'!$H$24:$H$123,'Rent Roll'!$E$24:$E$123,Overview!Q$23,'Rent Roll'!$K$24:$K$123,Overview!$L25)</f>
        <v>0</v>
      </c>
      <c r="R25" s="315">
        <f t="shared" ref="R25:R36" si="0">SUM(M25:Q25)</f>
        <v>0</v>
      </c>
    </row>
    <row r="26" spans="2:18" x14ac:dyDescent="0.3">
      <c r="B26" s="33"/>
      <c r="C26" s="37"/>
      <c r="D26" s="73"/>
      <c r="F26" s="17" t="s">
        <v>46</v>
      </c>
      <c r="H26" s="311">
        <f>IF($F$18="Standard Workforce Housing (SWHP)",SUM(SWHP!P26:P27),SUM('FTHP &amp; GAHP'!M27:M28))</f>
        <v>0</v>
      </c>
      <c r="I26" s="311">
        <f t="shared" ref="I26:I33" si="1">IFERROR(H26/$D$32,0)</f>
        <v>0</v>
      </c>
      <c r="J26" s="364">
        <f t="shared" ref="J26:J33" si="2">IFERROR(H26/$H$33,0)</f>
        <v>0</v>
      </c>
      <c r="L26" s="414">
        <v>0.4</v>
      </c>
      <c r="M26" s="277">
        <f>SUMIFS('Rent Roll'!$H$24:$H$123,'Rent Roll'!$E$24:$E$123,Overview!M$23,'Rent Roll'!$K$24:$K$123,Overview!$L26)</f>
        <v>0</v>
      </c>
      <c r="N26" s="277">
        <f>SUMIFS('Rent Roll'!$H$24:$H$123,'Rent Roll'!$E$24:$E$123,Overview!N$23,'Rent Roll'!$K$24:$K$123,Overview!$L26)</f>
        <v>0</v>
      </c>
      <c r="O26" s="277">
        <f>SUMIFS('Rent Roll'!$H$24:$H$123,'Rent Roll'!$E$24:$E$123,Overview!O$23,'Rent Roll'!$K$24:$K$123,Overview!$L26)</f>
        <v>0</v>
      </c>
      <c r="P26" s="277">
        <f>SUMIFS('Rent Roll'!$H$24:$H$123,'Rent Roll'!$E$24:$E$123,Overview!P$23,'Rent Roll'!$K$24:$K$123,Overview!$L26)</f>
        <v>0</v>
      </c>
      <c r="Q26" s="275">
        <f>SUMIFS('Rent Roll'!$H$24:$H$123,'Rent Roll'!$E$24:$E$123,Overview!Q$23,'Rent Roll'!$K$24:$K$123,Overview!$L26)</f>
        <v>0</v>
      </c>
      <c r="R26" s="315">
        <f t="shared" si="0"/>
        <v>0</v>
      </c>
    </row>
    <row r="27" spans="2:18" x14ac:dyDescent="0.3">
      <c r="B27" s="33" t="s">
        <v>47</v>
      </c>
      <c r="C27" s="37"/>
      <c r="D27" s="224"/>
      <c r="F27" s="17" t="s">
        <v>48</v>
      </c>
      <c r="H27" s="311">
        <f>IF($F$18="Standard Workforce Housing (SWHP)",SUM(SWHP!P24:P25),SUM('FTHP &amp; GAHP'!M25:M26))</f>
        <v>0</v>
      </c>
      <c r="I27" s="311">
        <f t="shared" si="1"/>
        <v>0</v>
      </c>
      <c r="J27" s="364">
        <f t="shared" si="2"/>
        <v>0</v>
      </c>
      <c r="L27" s="414">
        <v>0.5</v>
      </c>
      <c r="M27" s="277">
        <f>SUMIFS('Rent Roll'!$H$24:$H$123,'Rent Roll'!$E$24:$E$123,Overview!M$23,'Rent Roll'!$K$24:$K$123,Overview!$L27)</f>
        <v>0</v>
      </c>
      <c r="N27" s="277">
        <f>SUMIFS('Rent Roll'!$H$24:$H$123,'Rent Roll'!$E$24:$E$123,Overview!N$23,'Rent Roll'!$K$24:$K$123,Overview!$L27)</f>
        <v>0</v>
      </c>
      <c r="O27" s="277">
        <f>SUMIFS('Rent Roll'!$H$24:$H$123,'Rent Roll'!$E$24:$E$123,Overview!O$23,'Rent Roll'!$K$24:$K$123,Overview!$L27)</f>
        <v>0</v>
      </c>
      <c r="P27" s="277">
        <f>SUMIFS('Rent Roll'!$H$24:$H$123,'Rent Roll'!$E$24:$E$123,Overview!P$23,'Rent Roll'!$K$24:$K$123,Overview!$L27)</f>
        <v>0</v>
      </c>
      <c r="Q27" s="275">
        <f>SUMIFS('Rent Roll'!$H$24:$H$123,'Rent Roll'!$E$24:$E$123,Overview!Q$23,'Rent Roll'!$K$24:$K$123,Overview!$L27)</f>
        <v>0</v>
      </c>
      <c r="R27" s="315">
        <f t="shared" si="0"/>
        <v>0</v>
      </c>
    </row>
    <row r="28" spans="2:18" x14ac:dyDescent="0.3">
      <c r="B28" s="33" t="s">
        <v>49</v>
      </c>
      <c r="C28" s="37"/>
      <c r="D28" s="225"/>
      <c r="F28" s="17" t="s">
        <v>50</v>
      </c>
      <c r="H28" s="311">
        <f>IF($F$18="Standard Workforce Housing (SWHP)",SUM(SWHP!P17:P20),SUM('FTHP &amp; GAHP'!M18:M21))</f>
        <v>0</v>
      </c>
      <c r="I28" s="311">
        <f t="shared" si="1"/>
        <v>0</v>
      </c>
      <c r="J28" s="364">
        <f t="shared" si="2"/>
        <v>0</v>
      </c>
      <c r="L28" s="414">
        <v>0.6</v>
      </c>
      <c r="M28" s="277">
        <f>SUMIFS('Rent Roll'!$H$24:$H$123,'Rent Roll'!$E$24:$E$123,Overview!M$23,'Rent Roll'!$K$24:$K$123,Overview!$L28)</f>
        <v>0</v>
      </c>
      <c r="N28" s="277">
        <f>SUMIFS('Rent Roll'!$H$24:$H$123,'Rent Roll'!$E$24:$E$123,Overview!N$23,'Rent Roll'!$K$24:$K$123,Overview!$L28)</f>
        <v>0</v>
      </c>
      <c r="O28" s="277">
        <f>SUMIFS('Rent Roll'!$H$24:$H$123,'Rent Roll'!$E$24:$E$123,Overview!O$23,'Rent Roll'!$K$24:$K$123,Overview!$L28)</f>
        <v>0</v>
      </c>
      <c r="P28" s="277">
        <f>SUMIFS('Rent Roll'!$H$24:$H$123,'Rent Roll'!$E$24:$E$123,Overview!P$23,'Rent Roll'!$K$24:$K$123,Overview!$L28)</f>
        <v>0</v>
      </c>
      <c r="Q28" s="275">
        <f>SUMIFS('Rent Roll'!$H$24:$H$123,'Rent Roll'!$E$24:$E$123,Overview!Q$23,'Rent Roll'!$K$24:$K$123,Overview!$L28)</f>
        <v>0</v>
      </c>
      <c r="R28" s="315">
        <f t="shared" si="0"/>
        <v>0</v>
      </c>
    </row>
    <row r="29" spans="2:18" x14ac:dyDescent="0.3">
      <c r="B29" s="33" t="s">
        <v>51</v>
      </c>
      <c r="C29" s="37"/>
      <c r="D29" s="74" t="str">
        <f>IF(OR(D27="",D28=""),"",EDATE(D27,D28)-1)</f>
        <v/>
      </c>
      <c r="F29" s="17" t="s">
        <v>52</v>
      </c>
      <c r="H29" s="311">
        <f>IF($F$18="Standard Workforce Housing (SWHP)",SWHP!P28,'FTHP &amp; GAHP'!M29)</f>
        <v>0</v>
      </c>
      <c r="I29" s="311">
        <f t="shared" si="1"/>
        <v>0</v>
      </c>
      <c r="J29" s="364">
        <f t="shared" si="2"/>
        <v>0</v>
      </c>
      <c r="L29" s="414">
        <v>0.7</v>
      </c>
      <c r="M29" s="277">
        <f>SUMIFS('Rent Roll'!$H$24:$H$123,'Rent Roll'!$E$24:$E$123,Overview!M$23,'Rent Roll'!$K$24:$K$123,Overview!$L29)</f>
        <v>0</v>
      </c>
      <c r="N29" s="277">
        <f>SUMIFS('Rent Roll'!$H$24:$H$123,'Rent Roll'!$E$24:$E$123,Overview!N$23,'Rent Roll'!$K$24:$K$123,Overview!$L29)</f>
        <v>0</v>
      </c>
      <c r="O29" s="277">
        <f>SUMIFS('Rent Roll'!$H$24:$H$123,'Rent Roll'!$E$24:$E$123,Overview!O$23,'Rent Roll'!$K$24:$K$123,Overview!$L29)</f>
        <v>0</v>
      </c>
      <c r="P29" s="277">
        <f>SUMIFS('Rent Roll'!$H$24:$H$123,'Rent Roll'!$E$24:$E$123,Overview!P$23,'Rent Roll'!$K$24:$K$123,Overview!$L29)</f>
        <v>0</v>
      </c>
      <c r="Q29" s="275">
        <f>SUMIFS('Rent Roll'!$H$24:$H$123,'Rent Roll'!$E$24:$E$123,Overview!Q$23,'Rent Roll'!$K$24:$K$123,Overview!$L29)</f>
        <v>0</v>
      </c>
      <c r="R29" s="315">
        <f t="shared" si="0"/>
        <v>0</v>
      </c>
    </row>
    <row r="30" spans="2:18" x14ac:dyDescent="0.3">
      <c r="B30" s="33"/>
      <c r="C30" s="37"/>
      <c r="D30" s="38"/>
      <c r="F30" s="17" t="s">
        <v>53</v>
      </c>
      <c r="H30" s="311">
        <f>IF($F$18="Standard Workforce Housing (SWHP)",SUM(SWHP!P21:P23),SUM('FTHP &amp; GAHP'!M22:M24))</f>
        <v>0</v>
      </c>
      <c r="I30" s="311">
        <f t="shared" si="1"/>
        <v>0</v>
      </c>
      <c r="J30" s="364">
        <f t="shared" si="2"/>
        <v>0</v>
      </c>
      <c r="L30" s="414">
        <v>0.8</v>
      </c>
      <c r="M30" s="277">
        <f>SUMIFS('Rent Roll'!$H$24:$H$123,'Rent Roll'!$E$24:$E$123,Overview!M$23,'Rent Roll'!$K$24:$K$123,Overview!$L30)</f>
        <v>0</v>
      </c>
      <c r="N30" s="277">
        <f>SUMIFS('Rent Roll'!$H$24:$H$123,'Rent Roll'!$E$24:$E$123,Overview!N$23,'Rent Roll'!$K$24:$K$123,Overview!$L30)</f>
        <v>0</v>
      </c>
      <c r="O30" s="277">
        <f>SUMIFS('Rent Roll'!$H$24:$H$123,'Rent Roll'!$E$24:$E$123,Overview!O$23,'Rent Roll'!$K$24:$K$123,Overview!$L30)</f>
        <v>0</v>
      </c>
      <c r="P30" s="277">
        <f>SUMIFS('Rent Roll'!$H$24:$H$123,'Rent Roll'!$E$24:$E$123,Overview!P$23,'Rent Roll'!$K$24:$K$123,Overview!$L30)</f>
        <v>0</v>
      </c>
      <c r="Q30" s="275">
        <f>SUMIFS('Rent Roll'!$H$24:$H$123,'Rent Roll'!$E$24:$E$123,Overview!Q$23,'Rent Roll'!$K$24:$K$123,Overview!$L30)</f>
        <v>0</v>
      </c>
      <c r="R30" s="315">
        <f t="shared" si="0"/>
        <v>0</v>
      </c>
    </row>
    <row r="31" spans="2:18" x14ac:dyDescent="0.3">
      <c r="B31" s="33" t="s">
        <v>54</v>
      </c>
      <c r="C31" s="37"/>
      <c r="D31" s="226"/>
      <c r="F31" s="17" t="s">
        <v>55</v>
      </c>
      <c r="H31" s="311">
        <f>IF($F$18="Standard Workforce Housing (SWHP)",SUM(SWHP!P29,SWHP!P32:P33),SUM('FTHP &amp; GAHP'!M30,'FTHP &amp; GAHP'!M33:M34))</f>
        <v>0</v>
      </c>
      <c r="I31" s="311">
        <f t="shared" si="1"/>
        <v>0</v>
      </c>
      <c r="J31" s="364">
        <f t="shared" si="2"/>
        <v>0</v>
      </c>
      <c r="L31" s="414">
        <v>0.9</v>
      </c>
      <c r="M31" s="277">
        <f>SUMIFS('Rent Roll'!$H$24:$H$123,'Rent Roll'!$E$24:$E$123,Overview!M$23,'Rent Roll'!$K$24:$K$123,Overview!$L31)</f>
        <v>0</v>
      </c>
      <c r="N31" s="277">
        <f>SUMIFS('Rent Roll'!$H$24:$H$123,'Rent Roll'!$E$24:$E$123,Overview!N$23,'Rent Roll'!$K$24:$K$123,Overview!$L31)</f>
        <v>0</v>
      </c>
      <c r="O31" s="277">
        <f>SUMIFS('Rent Roll'!$H$24:$H$123,'Rent Roll'!$E$24:$E$123,Overview!O$23,'Rent Roll'!$K$24:$K$123,Overview!$L31)</f>
        <v>0</v>
      </c>
      <c r="P31" s="277">
        <f>SUMIFS('Rent Roll'!$H$24:$H$123,'Rent Roll'!$E$24:$E$123,Overview!P$23,'Rent Roll'!$K$24:$K$123,Overview!$L31)</f>
        <v>0</v>
      </c>
      <c r="Q31" s="275">
        <f>SUMIFS('Rent Roll'!$H$24:$H$123,'Rent Roll'!$E$24:$E$123,Overview!Q$23,'Rent Roll'!$K$24:$K$123,Overview!$L31)</f>
        <v>0</v>
      </c>
      <c r="R31" s="315">
        <f t="shared" si="0"/>
        <v>0</v>
      </c>
    </row>
    <row r="32" spans="2:18" x14ac:dyDescent="0.3">
      <c r="B32" s="33" t="s">
        <v>56</v>
      </c>
      <c r="C32" s="37"/>
      <c r="D32" s="105">
        <f>'Rent Roll'!H124</f>
        <v>0</v>
      </c>
      <c r="F32" s="17" t="s">
        <v>57</v>
      </c>
      <c r="H32" s="311">
        <f>IF($F$18="Standard Workforce Housing (SWHP)",SWHP!P31,'FTHP &amp; GAHP'!M32)</f>
        <v>0</v>
      </c>
      <c r="I32" s="311">
        <f t="shared" si="1"/>
        <v>0</v>
      </c>
      <c r="J32" s="364">
        <f t="shared" si="2"/>
        <v>0</v>
      </c>
      <c r="L32" s="414">
        <v>1</v>
      </c>
      <c r="M32" s="277">
        <f>SUMIFS('Rent Roll'!$H$24:$H$123,'Rent Roll'!$E$24:$E$123,Overview!M$23,'Rent Roll'!$K$24:$K$123,Overview!$L32)</f>
        <v>0</v>
      </c>
      <c r="N32" s="277">
        <f>SUMIFS('Rent Roll'!$H$24:$H$123,'Rent Roll'!$E$24:$E$123,Overview!N$23,'Rent Roll'!$K$24:$K$123,Overview!$L32)</f>
        <v>0</v>
      </c>
      <c r="O32" s="277">
        <f>SUMIFS('Rent Roll'!$H$24:$H$123,'Rent Roll'!$E$24:$E$123,Overview!O$23,'Rent Roll'!$K$24:$K$123,Overview!$L32)</f>
        <v>0</v>
      </c>
      <c r="P32" s="277">
        <f>SUMIFS('Rent Roll'!$H$24:$H$123,'Rent Roll'!$E$24:$E$123,Overview!P$23,'Rent Roll'!$K$24:$K$123,Overview!$L32)</f>
        <v>0</v>
      </c>
      <c r="Q32" s="275">
        <f>SUMIFS('Rent Roll'!$H$24:$H$123,'Rent Roll'!$E$24:$E$123,Overview!Q$23,'Rent Roll'!$K$24:$K$123,Overview!$L32)</f>
        <v>0</v>
      </c>
      <c r="R32" s="315">
        <f t="shared" si="0"/>
        <v>0</v>
      </c>
    </row>
    <row r="33" spans="2:27" x14ac:dyDescent="0.3">
      <c r="B33" s="45" t="s">
        <v>58</v>
      </c>
      <c r="C33" s="37"/>
      <c r="D33" s="105">
        <f ca="1">SUMIFS(OFFSET('Rent Roll'!$H$23,1,0):OFFSET('Rent Roll'!$H$124,-1,0),OFFSET('Rent Roll'!$K$23,1,0):OFFSET('Rent Roll'!$K$124,-1,0),"MKT")</f>
        <v>0</v>
      </c>
      <c r="F33" s="191" t="s">
        <v>59</v>
      </c>
      <c r="G33" s="192"/>
      <c r="H33" s="312">
        <f>SUM(H25:H32)</f>
        <v>0</v>
      </c>
      <c r="I33" s="312">
        <f t="shared" si="1"/>
        <v>0</v>
      </c>
      <c r="J33" s="365">
        <f t="shared" si="2"/>
        <v>0</v>
      </c>
      <c r="L33" s="414">
        <v>1.1000000000000001</v>
      </c>
      <c r="M33" s="277">
        <f>SUMIFS('Rent Roll'!$H$24:$H$123,'Rent Roll'!$E$24:$E$123,Overview!M$23,'Rent Roll'!$K$24:$K$123,Overview!$L33)</f>
        <v>0</v>
      </c>
      <c r="N33" s="277">
        <f>SUMIFS('Rent Roll'!$H$24:$H$123,'Rent Roll'!$E$24:$E$123,Overview!N$23,'Rent Roll'!$K$24:$K$123,Overview!$L33)</f>
        <v>0</v>
      </c>
      <c r="O33" s="277">
        <f>SUMIFS('Rent Roll'!$H$24:$H$123,'Rent Roll'!$E$24:$E$123,Overview!O$23,'Rent Roll'!$K$24:$K$123,Overview!$L33)</f>
        <v>0</v>
      </c>
      <c r="P33" s="277">
        <f>SUMIFS('Rent Roll'!$H$24:$H$123,'Rent Roll'!$E$24:$E$123,Overview!P$23,'Rent Roll'!$K$24:$K$123,Overview!$L33)</f>
        <v>0</v>
      </c>
      <c r="Q33" s="275">
        <f>SUMIFS('Rent Roll'!$H$24:$H$123,'Rent Roll'!$E$24:$E$123,Overview!Q$23,'Rent Roll'!$K$24:$K$123,Overview!$L33)</f>
        <v>0</v>
      </c>
      <c r="R33" s="315">
        <f t="shared" si="0"/>
        <v>0</v>
      </c>
    </row>
    <row r="34" spans="2:27" x14ac:dyDescent="0.3">
      <c r="B34" s="45" t="s">
        <v>60</v>
      </c>
      <c r="C34" s="37"/>
      <c r="D34" s="105">
        <f ca="1">SUMIFS(OFFSET('Rent Roll'!$H$23,1,0):OFFSET('Rent Roll'!$H$124,-1,0),OFFSET('Rent Roll'!$K$23,1,0):OFFSET('Rent Roll'!$K$124,-1,0),"&gt;0")</f>
        <v>0</v>
      </c>
      <c r="F34" s="300"/>
      <c r="H34" s="301" t="b">
        <f>IF(H33=H49,TRUE,FALSE)</f>
        <v>1</v>
      </c>
      <c r="I34" s="301"/>
      <c r="J34" s="18"/>
      <c r="L34" s="414">
        <v>1.2</v>
      </c>
      <c r="M34" s="277">
        <f>SUMIFS('Rent Roll'!$H$24:$H$123,'Rent Roll'!$E$24:$E$123,Overview!M$23,'Rent Roll'!$K$24:$K$123,Overview!$L34)</f>
        <v>0</v>
      </c>
      <c r="N34" s="277">
        <f>SUMIFS('Rent Roll'!$H$24:$H$123,'Rent Roll'!$E$24:$E$123,Overview!N$23,'Rent Roll'!$K$24:$K$123,Overview!$L34)</f>
        <v>0</v>
      </c>
      <c r="O34" s="277">
        <f>SUMIFS('Rent Roll'!$H$24:$H$123,'Rent Roll'!$E$24:$E$123,Overview!O$23,'Rent Roll'!$K$24:$K$123,Overview!$L34)</f>
        <v>0</v>
      </c>
      <c r="P34" s="277">
        <f>SUMIFS('Rent Roll'!$H$24:$H$123,'Rent Roll'!$E$24:$E$123,Overview!P$23,'Rent Roll'!$K$24:$K$123,Overview!$L34)</f>
        <v>0</v>
      </c>
      <c r="Q34" s="275">
        <f>SUMIFS('Rent Roll'!$H$24:$H$123,'Rent Roll'!$E$24:$E$123,Overview!Q$23,'Rent Roll'!$K$24:$K$123,Overview!$L34)</f>
        <v>0</v>
      </c>
      <c r="R34" s="315">
        <f t="shared" si="0"/>
        <v>0</v>
      </c>
    </row>
    <row r="35" spans="2:27" x14ac:dyDescent="0.3">
      <c r="B35" s="33" t="s">
        <v>61</v>
      </c>
      <c r="C35" s="37"/>
      <c r="D35" s="105">
        <f>'Rent Roll'!$I$124</f>
        <v>0</v>
      </c>
      <c r="F35" s="307" t="s">
        <v>62</v>
      </c>
      <c r="G35" s="308"/>
      <c r="H35" s="309"/>
      <c r="I35" s="309"/>
      <c r="J35" s="310"/>
      <c r="L35" s="414" t="s">
        <v>63</v>
      </c>
      <c r="M35" s="277">
        <f>SUMIFS('Rent Roll'!$H$24:$H$123,'Rent Roll'!$E$24:$E$123,Overview!M$23,'Rent Roll'!$K$24:$K$123,Overview!$L35)</f>
        <v>0</v>
      </c>
      <c r="N35" s="277">
        <f>SUMIFS('Rent Roll'!$H$24:$H$123,'Rent Roll'!$E$24:$E$123,Overview!N$23,'Rent Roll'!$K$24:$K$123,Overview!$L35)</f>
        <v>0</v>
      </c>
      <c r="O35" s="277">
        <f>SUMIFS('Rent Roll'!$H$24:$H$123,'Rent Roll'!$E$24:$E$123,Overview!O$23,'Rent Roll'!$K$24:$K$123,Overview!$L35)</f>
        <v>0</v>
      </c>
      <c r="P35" s="277">
        <f>SUMIFS('Rent Roll'!$H$24:$H$123,'Rent Roll'!$E$24:$E$123,Overview!P$23,'Rent Roll'!$K$24:$K$123,Overview!$L35)</f>
        <v>0</v>
      </c>
      <c r="Q35" s="275">
        <f>SUMIFS('Rent Roll'!$H$24:$H$123,'Rent Roll'!$E$24:$E$123,Overview!Q$23,'Rent Roll'!$K$24:$K$123,Overview!$L35)</f>
        <v>0</v>
      </c>
      <c r="R35" s="315">
        <f t="shared" si="0"/>
        <v>0</v>
      </c>
    </row>
    <row r="36" spans="2:27" x14ac:dyDescent="0.3">
      <c r="B36" s="45" t="s">
        <v>64</v>
      </c>
      <c r="C36" s="37"/>
      <c r="D36" s="105">
        <f ca="1">SUMIFS(OFFSET('Rent Roll'!$I$23,1,0):OFFSET('Rent Roll'!$I$124,-1,0),OFFSET('Rent Roll'!$K$23,1,0):OFFSET('Rent Roll'!$K$124,-1,0),"MKT")</f>
        <v>0</v>
      </c>
      <c r="F36" s="17" t="s">
        <v>45</v>
      </c>
      <c r="H36" s="311">
        <f>IF($F$18="Standard Workforce Housing (SWHP)",SWHP!P48,'FTHP &amp; GAHP'!M49)</f>
        <v>0</v>
      </c>
      <c r="I36" s="311">
        <f>IFERROR(H36/$D$32,0)</f>
        <v>0</v>
      </c>
      <c r="J36" s="364">
        <f>IFERROR(H36/$H$43,0)</f>
        <v>0</v>
      </c>
      <c r="L36" s="444" t="s">
        <v>40</v>
      </c>
      <c r="M36" s="278">
        <f>SUM(M24:M35)</f>
        <v>0</v>
      </c>
      <c r="N36" s="278">
        <f>SUM(N24:N35)</f>
        <v>0</v>
      </c>
      <c r="O36" s="278">
        <f>SUM(O24:O35)</f>
        <v>0</v>
      </c>
      <c r="P36" s="278">
        <f>SUM(P24:P35)</f>
        <v>0</v>
      </c>
      <c r="Q36" s="445">
        <f>SUM(Q24:Q35)</f>
        <v>0</v>
      </c>
      <c r="R36" s="443">
        <f t="shared" si="0"/>
        <v>0</v>
      </c>
    </row>
    <row r="37" spans="2:27" x14ac:dyDescent="0.3">
      <c r="B37" s="45" t="s">
        <v>65</v>
      </c>
      <c r="C37" s="37"/>
      <c r="D37" s="105">
        <f ca="1">SUMIFS(OFFSET('Rent Roll'!$I$23,1,0):OFFSET('Rent Roll'!$I$124,-1,0),OFFSET('Rent Roll'!$K$23,1,0):OFFSET('Rent Roll'!$K$124,-1,0),"&gt;0")</f>
        <v>0</v>
      </c>
      <c r="F37" s="17" t="s">
        <v>46</v>
      </c>
      <c r="H37" s="311">
        <f>IF($F$18="Standard Workforce Housing (SWHP)",SUM(SWHP!P44:P45),SUM('FTHP &amp; GAHP'!M45:M46))</f>
        <v>0</v>
      </c>
      <c r="I37" s="311">
        <f t="shared" ref="I37:I43" si="3">IFERROR(H37/$D$32,0)</f>
        <v>0</v>
      </c>
      <c r="J37" s="364">
        <f t="shared" ref="J37:J43" si="4">IFERROR(H37/$H$43,0)</f>
        <v>0</v>
      </c>
    </row>
    <row r="38" spans="2:27" x14ac:dyDescent="0.3">
      <c r="B38" s="33" t="s">
        <v>66</v>
      </c>
      <c r="C38" s="37"/>
      <c r="D38" s="226"/>
      <c r="F38" s="17" t="s">
        <v>67</v>
      </c>
      <c r="H38" s="311">
        <f>IF($F$18="Standard Workforce Housing (SWHP)",SUM(SWHP!P37:P40),SUM('FTHP &amp; GAHP'!M38:M41))</f>
        <v>0</v>
      </c>
      <c r="I38" s="311">
        <f t="shared" si="3"/>
        <v>0</v>
      </c>
      <c r="J38" s="364">
        <f t="shared" si="4"/>
        <v>0</v>
      </c>
    </row>
    <row r="39" spans="2:27" x14ac:dyDescent="0.3">
      <c r="B39" s="33" t="s">
        <v>68</v>
      </c>
      <c r="C39" s="37"/>
      <c r="D39" s="105">
        <f>D31-D35-D38</f>
        <v>0</v>
      </c>
      <c r="F39" s="17" t="s">
        <v>52</v>
      </c>
      <c r="H39" s="311">
        <f>IF($F$18="Standard Workforce Housing (SWHP)",SWHP!P46,'FTHP &amp; GAHP'!M47)</f>
        <v>0</v>
      </c>
      <c r="I39" s="311">
        <f t="shared" si="3"/>
        <v>0</v>
      </c>
      <c r="J39" s="364">
        <f t="shared" si="4"/>
        <v>0</v>
      </c>
      <c r="L39" s="6" t="s">
        <v>69</v>
      </c>
      <c r="M39" s="9"/>
      <c r="N39" s="9"/>
      <c r="O39" s="9"/>
      <c r="P39" s="9"/>
      <c r="Q39" s="9"/>
      <c r="R39" s="9"/>
      <c r="S39" s="9"/>
      <c r="T39" s="9"/>
      <c r="U39" s="9"/>
      <c r="V39" s="9"/>
      <c r="W39" s="9"/>
      <c r="X39" s="9"/>
      <c r="Y39" s="9"/>
      <c r="Z39" s="9"/>
      <c r="AA39" s="89"/>
    </row>
    <row r="40" spans="2:27" x14ac:dyDescent="0.3">
      <c r="B40" s="33" t="s">
        <v>70</v>
      </c>
      <c r="C40" s="37"/>
      <c r="D40" s="106">
        <f>'Rent Roll'!G125</f>
        <v>0</v>
      </c>
      <c r="F40" s="17" t="s">
        <v>53</v>
      </c>
      <c r="H40" s="311">
        <f>IF($F$18="Standard Workforce Housing (SWHP)",SUM(SWHP!P41:P43),SUM('FTHP &amp; GAHP'!M42:M44))</f>
        <v>0</v>
      </c>
      <c r="I40" s="311">
        <f t="shared" si="3"/>
        <v>0</v>
      </c>
      <c r="J40" s="364">
        <f t="shared" si="4"/>
        <v>0</v>
      </c>
      <c r="L40" s="416"/>
      <c r="M40" s="417">
        <v>1</v>
      </c>
      <c r="N40" s="417">
        <f>M40+1</f>
        <v>2</v>
      </c>
      <c r="O40" s="417">
        <f t="shared" ref="O40:AA40" si="5">N40+1</f>
        <v>3</v>
      </c>
      <c r="P40" s="417">
        <f t="shared" si="5"/>
        <v>4</v>
      </c>
      <c r="Q40" s="417">
        <f t="shared" si="5"/>
        <v>5</v>
      </c>
      <c r="R40" s="417">
        <f t="shared" si="5"/>
        <v>6</v>
      </c>
      <c r="S40" s="417">
        <f t="shared" si="5"/>
        <v>7</v>
      </c>
      <c r="T40" s="417">
        <f t="shared" si="5"/>
        <v>8</v>
      </c>
      <c r="U40" s="417">
        <f t="shared" si="5"/>
        <v>9</v>
      </c>
      <c r="V40" s="417">
        <f t="shared" si="5"/>
        <v>10</v>
      </c>
      <c r="W40" s="417">
        <f t="shared" si="5"/>
        <v>11</v>
      </c>
      <c r="X40" s="417">
        <f t="shared" si="5"/>
        <v>12</v>
      </c>
      <c r="Y40" s="417">
        <f t="shared" si="5"/>
        <v>13</v>
      </c>
      <c r="Z40" s="417">
        <f t="shared" si="5"/>
        <v>14</v>
      </c>
      <c r="AA40" s="417">
        <f t="shared" si="5"/>
        <v>15</v>
      </c>
    </row>
    <row r="41" spans="2:27" x14ac:dyDescent="0.3">
      <c r="B41" s="33" t="s">
        <v>71</v>
      </c>
      <c r="C41" s="37"/>
      <c r="D41" s="424" t="str">
        <f ca="1">'Rent Roll'!K124</f>
        <v>NA</v>
      </c>
      <c r="F41" s="17" t="s">
        <v>55</v>
      </c>
      <c r="H41" s="311">
        <f>IF($F$18="Standard Workforce Housing (SWHP)",SUM(SWHP!P47,SWHP!P50:P51),SUM('FTHP &amp; GAHP'!M48,'FTHP &amp; GAHP'!M51:M52))</f>
        <v>0</v>
      </c>
      <c r="I41" s="311">
        <f t="shared" si="3"/>
        <v>0</v>
      </c>
      <c r="J41" s="364">
        <f t="shared" si="4"/>
        <v>0</v>
      </c>
      <c r="L41" s="415" t="s">
        <v>72</v>
      </c>
      <c r="M41" s="418"/>
      <c r="N41" s="421">
        <v>0.02</v>
      </c>
      <c r="O41" s="421">
        <f>N41</f>
        <v>0.02</v>
      </c>
      <c r="P41" s="421">
        <v>0.02</v>
      </c>
      <c r="Q41" s="421">
        <v>0.02</v>
      </c>
      <c r="R41" s="421">
        <v>0.02</v>
      </c>
      <c r="S41" s="421">
        <v>0.02</v>
      </c>
      <c r="T41" s="421">
        <v>0.02</v>
      </c>
      <c r="U41" s="421">
        <v>0.02</v>
      </c>
      <c r="V41" s="421">
        <v>0.02</v>
      </c>
      <c r="W41" s="421">
        <v>0.02</v>
      </c>
      <c r="X41" s="421">
        <v>0.02</v>
      </c>
      <c r="Y41" s="421">
        <v>0.02</v>
      </c>
      <c r="Z41" s="421">
        <v>0.02</v>
      </c>
      <c r="AA41" s="422">
        <v>0.02</v>
      </c>
    </row>
    <row r="42" spans="2:27" x14ac:dyDescent="0.3">
      <c r="B42" s="33" t="s">
        <v>73</v>
      </c>
      <c r="C42" s="37"/>
      <c r="D42" s="425" t="str">
        <f ca="1">'Rent Roll'!K125</f>
        <v>NA</v>
      </c>
      <c r="F42" s="17" t="s">
        <v>57</v>
      </c>
      <c r="H42" s="311">
        <f>IF($F$18="Standard Workforce Housing (SWHP)",SWHP!P49,'FTHP &amp; GAHP'!M50)</f>
        <v>0</v>
      </c>
      <c r="I42" s="311">
        <f t="shared" si="3"/>
        <v>0</v>
      </c>
      <c r="J42" s="364">
        <f t="shared" si="4"/>
        <v>0</v>
      </c>
      <c r="L42" s="415" t="s">
        <v>74</v>
      </c>
      <c r="M42" s="419">
        <f ca="1">'Rent Roll'!AB124</f>
        <v>0</v>
      </c>
      <c r="N42" s="419">
        <f ca="1">M42*(1+N41)</f>
        <v>0</v>
      </c>
      <c r="O42" s="419">
        <f t="shared" ref="O42:AA42" ca="1" si="6">N42*(1+O41)</f>
        <v>0</v>
      </c>
      <c r="P42" s="419">
        <f t="shared" ca="1" si="6"/>
        <v>0</v>
      </c>
      <c r="Q42" s="419">
        <f t="shared" ca="1" si="6"/>
        <v>0</v>
      </c>
      <c r="R42" s="419">
        <f t="shared" ca="1" si="6"/>
        <v>0</v>
      </c>
      <c r="S42" s="419">
        <f t="shared" ca="1" si="6"/>
        <v>0</v>
      </c>
      <c r="T42" s="419">
        <f t="shared" ca="1" si="6"/>
        <v>0</v>
      </c>
      <c r="U42" s="419">
        <f t="shared" ca="1" si="6"/>
        <v>0</v>
      </c>
      <c r="V42" s="419">
        <f t="shared" ca="1" si="6"/>
        <v>0</v>
      </c>
      <c r="W42" s="419">
        <f t="shared" ca="1" si="6"/>
        <v>0</v>
      </c>
      <c r="X42" s="419">
        <f t="shared" ca="1" si="6"/>
        <v>0</v>
      </c>
      <c r="Y42" s="419">
        <f t="shared" ca="1" si="6"/>
        <v>0</v>
      </c>
      <c r="Z42" s="419">
        <f t="shared" ca="1" si="6"/>
        <v>0</v>
      </c>
      <c r="AA42" s="420">
        <f t="shared" ca="1" si="6"/>
        <v>0</v>
      </c>
    </row>
    <row r="43" spans="2:27" x14ac:dyDescent="0.3">
      <c r="B43" s="34"/>
      <c r="C43" s="39"/>
      <c r="D43" s="40"/>
      <c r="F43" s="191" t="s">
        <v>75</v>
      </c>
      <c r="G43" s="192"/>
      <c r="H43" s="312">
        <f>SUM(H36:H42)</f>
        <v>0</v>
      </c>
      <c r="I43" s="312">
        <f t="shared" si="3"/>
        <v>0</v>
      </c>
      <c r="J43" s="365">
        <f t="shared" si="4"/>
        <v>0</v>
      </c>
    </row>
    <row r="44" spans="2:27" x14ac:dyDescent="0.3">
      <c r="F44" s="300"/>
      <c r="H44" s="301" t="b">
        <f>IF(H43=H49,TRUE,FALSE)</f>
        <v>1</v>
      </c>
      <c r="I44" s="301"/>
      <c r="J44" s="18"/>
    </row>
    <row r="45" spans="2:27" x14ac:dyDescent="0.3">
      <c r="F45" s="307" t="s">
        <v>76</v>
      </c>
      <c r="G45" s="308"/>
      <c r="H45" s="309"/>
      <c r="I45" s="309"/>
      <c r="J45" s="310"/>
    </row>
    <row r="46" spans="2:27" x14ac:dyDescent="0.3">
      <c r="F46" s="17" t="s">
        <v>77</v>
      </c>
      <c r="H46" s="311">
        <f>IF($F$18="Standard Workforce Housing (SWHP)",SWHP!P55,'FTHP &amp; GAHP'!M56)</f>
        <v>0</v>
      </c>
      <c r="I46" s="311">
        <f>IFERROR(H46/$D$32,0)</f>
        <v>0</v>
      </c>
      <c r="J46" s="364">
        <f>IFERROR(H46/$H$49,0)</f>
        <v>0</v>
      </c>
    </row>
    <row r="47" spans="2:27" x14ac:dyDescent="0.3">
      <c r="F47" s="17" t="s">
        <v>78</v>
      </c>
      <c r="H47" s="311">
        <f>IF($F$18="Standard Workforce Housing (SWHP)",SWHP!P56,'FTHP &amp; GAHP'!M57)</f>
        <v>0</v>
      </c>
      <c r="I47" s="311">
        <f>IFERROR(H47/$D$32,0)</f>
        <v>0</v>
      </c>
      <c r="J47" s="364">
        <f>IFERROR(H47/$H$49,0)</f>
        <v>0</v>
      </c>
    </row>
    <row r="48" spans="2:27" x14ac:dyDescent="0.3">
      <c r="F48" s="17" t="s">
        <v>79</v>
      </c>
      <c r="H48" s="311">
        <f>IF($F$18="Standard Workforce Housing (SWHP)",SWHP!P57,'FTHP &amp; GAHP'!M58)</f>
        <v>0</v>
      </c>
      <c r="I48" s="311">
        <f>IFERROR(H48/$D$32,0)</f>
        <v>0</v>
      </c>
      <c r="J48" s="364">
        <f>IFERROR(H48/$H$49,0)</f>
        <v>0</v>
      </c>
    </row>
    <row r="49" spans="6:10" x14ac:dyDescent="0.3">
      <c r="F49" s="191" t="s">
        <v>80</v>
      </c>
      <c r="G49" s="192"/>
      <c r="H49" s="312">
        <f>SUM(H46:H48)</f>
        <v>0</v>
      </c>
      <c r="I49" s="312">
        <f>IFERROR(H49/$D$32,0)</f>
        <v>0</v>
      </c>
      <c r="J49" s="365">
        <f>IFERROR(H49/$H$49,0)</f>
        <v>0</v>
      </c>
    </row>
    <row r="50" spans="6:10" x14ac:dyDescent="0.3">
      <c r="F50" s="302"/>
      <c r="G50" s="190"/>
      <c r="H50" s="22"/>
      <c r="I50" s="22"/>
      <c r="J50" s="20"/>
    </row>
  </sheetData>
  <sheetProtection algorithmName="SHA-512" hashValue="tCGcRsH3imlofc1Bxrc/4DQU0B9nZ/OAgK1yci8cHjkZ3e8pNNLi3v30QxU1z++KV01S66hNRqBxEpW8FzLrZQ==" saltValue="VcCbK6EkOWREBP1Z03QhFw==" spinCount="100000" sheet="1"/>
  <protectedRanges>
    <protectedRange sqref="F13:G17 D24:D25 D27:D28 D31 D38 L24:L35" name="Overview"/>
  </protectedRanges>
  <mergeCells count="16">
    <mergeCell ref="B4:G7"/>
    <mergeCell ref="F17:G17"/>
    <mergeCell ref="F13:G13"/>
    <mergeCell ref="B23:C23"/>
    <mergeCell ref="F23:G23"/>
    <mergeCell ref="F14:G14"/>
    <mergeCell ref="F15:G15"/>
    <mergeCell ref="F16:G16"/>
    <mergeCell ref="F18:G18"/>
    <mergeCell ref="F19:G19"/>
    <mergeCell ref="M13:M15"/>
    <mergeCell ref="N13:N15"/>
    <mergeCell ref="I13:I16"/>
    <mergeCell ref="J13:J15"/>
    <mergeCell ref="K13:K15"/>
    <mergeCell ref="L13:L15"/>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EA789B5-193E-4689-9261-8BE7E05939ED}">
          <x14:formula1>
            <xm:f>List!$Y$5:$Y$7</xm:f>
          </x14:formula1>
          <xm:sqref>F14</xm:sqref>
        </x14:dataValidation>
        <x14:dataValidation type="list" allowBlank="1" showInputMessage="1" showErrorMessage="1" xr:uid="{2A5293D7-34B1-4CB2-9C44-C86D0B0C0D8B}">
          <x14:formula1>
            <xm:f>List!$U$5:$U$7</xm:f>
          </x14:formula1>
          <xm:sqref>F17</xm:sqref>
        </x14:dataValidation>
        <x14:dataValidation type="list" allowBlank="1" showInputMessage="1" showErrorMessage="1" xr:uid="{7F486651-AFBD-409A-B5AB-FEBA6E9690BB}">
          <x14:formula1>
            <xm:f>List!$W$5:$W$6</xm:f>
          </x14:formula1>
          <xm:sqref>F15:G15 F16</xm:sqref>
        </x14:dataValidation>
        <x14:dataValidation type="list" allowBlank="1" showInputMessage="1" showErrorMessage="1" xr:uid="{5FA0A9F5-4641-4D94-81AA-75713584DFA7}">
          <x14:formula1>
            <xm:f>List!$D$5:$D$18</xm:f>
          </x14:formula1>
          <xm:sqref>L24:L35</xm:sqref>
        </x14:dataValidation>
        <x14:dataValidation type="list" allowBlank="1" showInputMessage="1" showErrorMessage="1" xr:uid="{B3A66E35-2AD9-4157-8973-EB285C42C28B}">
          <x14:formula1>
            <xm:f>List!$AE$5:$AE$8</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H125"/>
  <sheetViews>
    <sheetView showGridLines="0" zoomScale="130" zoomScaleNormal="130" workbookViewId="0"/>
  </sheetViews>
  <sheetFormatPr defaultColWidth="15.6640625" defaultRowHeight="13.8" outlineLevelCol="1" x14ac:dyDescent="0.3"/>
  <cols>
    <col min="1" max="1" width="2.6640625" style="1" customWidth="1"/>
    <col min="2" max="13" width="15.6640625" style="1" customWidth="1"/>
    <col min="14" max="20" width="15.6640625" style="1" customWidth="1" outlineLevel="1"/>
    <col min="21" max="32" width="15.6640625" style="1" customWidth="1"/>
    <col min="33" max="16384" width="15.6640625" style="1"/>
  </cols>
  <sheetData>
    <row r="1" spans="2:30" s="4" customFormat="1" ht="15.6" x14ac:dyDescent="0.3">
      <c r="B1" s="4" t="s">
        <v>0</v>
      </c>
    </row>
    <row r="2" spans="2:30" s="5" customFormat="1" ht="15" customHeight="1" x14ac:dyDescent="0.3">
      <c r="B2" s="5" t="s">
        <v>81</v>
      </c>
    </row>
    <row r="3" spans="2:30" s="5" customFormat="1" ht="15" customHeight="1" x14ac:dyDescent="0.3">
      <c r="Q3"/>
      <c r="R3"/>
      <c r="S3"/>
      <c r="T3"/>
      <c r="U3"/>
    </row>
    <row r="4" spans="2:30" s="5" customFormat="1" ht="15" customHeight="1" x14ac:dyDescent="0.3">
      <c r="B4" s="482" t="s">
        <v>82</v>
      </c>
      <c r="C4" s="483"/>
      <c r="D4" s="483"/>
      <c r="E4" s="483"/>
      <c r="F4" s="483"/>
      <c r="G4" s="483"/>
      <c r="H4" s="483"/>
      <c r="I4" s="483"/>
      <c r="J4" s="483"/>
      <c r="K4" s="484"/>
      <c r="Q4"/>
      <c r="R4"/>
      <c r="X4" s="41" t="s">
        <v>83</v>
      </c>
      <c r="Y4" s="42"/>
      <c r="Z4" s="43"/>
    </row>
    <row r="5" spans="2:30" s="5" customFormat="1" ht="15" customHeight="1" x14ac:dyDescent="0.3">
      <c r="B5" s="485"/>
      <c r="C5" s="461"/>
      <c r="D5" s="461"/>
      <c r="E5" s="461"/>
      <c r="F5" s="461"/>
      <c r="G5" s="461"/>
      <c r="H5" s="461"/>
      <c r="I5" s="461"/>
      <c r="J5" s="461"/>
      <c r="K5" s="486"/>
      <c r="Q5"/>
      <c r="R5"/>
      <c r="X5" s="480" t="s">
        <v>84</v>
      </c>
      <c r="Y5" s="481"/>
      <c r="Z5" s="87" t="s">
        <v>85</v>
      </c>
    </row>
    <row r="6" spans="2:30" s="5" customFormat="1" ht="15" customHeight="1" x14ac:dyDescent="0.3">
      <c r="B6" s="485"/>
      <c r="C6" s="461"/>
      <c r="D6" s="461"/>
      <c r="E6" s="461"/>
      <c r="F6" s="461"/>
      <c r="G6" s="461"/>
      <c r="H6" s="461"/>
      <c r="I6" s="461"/>
      <c r="J6" s="461"/>
      <c r="K6" s="486"/>
      <c r="Q6"/>
      <c r="R6"/>
      <c r="X6" s="13" t="s">
        <v>86</v>
      </c>
      <c r="Y6" s="14" t="s">
        <v>87</v>
      </c>
      <c r="Z6" s="426"/>
    </row>
    <row r="7" spans="2:30" s="5" customFormat="1" ht="15" customHeight="1" x14ac:dyDescent="0.3">
      <c r="B7" s="485"/>
      <c r="C7" s="461"/>
      <c r="D7" s="461"/>
      <c r="E7" s="461"/>
      <c r="F7" s="461"/>
      <c r="G7" s="461"/>
      <c r="H7" s="461"/>
      <c r="I7" s="461"/>
      <c r="J7" s="461"/>
      <c r="K7" s="486"/>
      <c r="Q7"/>
      <c r="R7"/>
      <c r="X7" s="15"/>
      <c r="Y7" s="16" t="s">
        <v>88</v>
      </c>
      <c r="Z7" s="427"/>
    </row>
    <row r="8" spans="2:30" s="5" customFormat="1" ht="15" customHeight="1" x14ac:dyDescent="0.3">
      <c r="B8" s="485"/>
      <c r="C8" s="461"/>
      <c r="D8" s="461"/>
      <c r="E8" s="461"/>
      <c r="F8" s="461"/>
      <c r="G8" s="461"/>
      <c r="H8" s="461"/>
      <c r="I8" s="461"/>
      <c r="J8" s="461"/>
      <c r="K8" s="486"/>
      <c r="Q8"/>
      <c r="R8"/>
      <c r="X8" s="15" t="s">
        <v>89</v>
      </c>
      <c r="Y8" s="16" t="s">
        <v>87</v>
      </c>
      <c r="Z8" s="427"/>
    </row>
    <row r="9" spans="2:30" s="5" customFormat="1" ht="15" customHeight="1" x14ac:dyDescent="0.3">
      <c r="B9" s="487"/>
      <c r="C9" s="488"/>
      <c r="D9" s="488"/>
      <c r="E9" s="488"/>
      <c r="F9" s="488"/>
      <c r="G9" s="488"/>
      <c r="H9" s="488"/>
      <c r="I9" s="488"/>
      <c r="J9" s="488"/>
      <c r="K9" s="489"/>
      <c r="Q9"/>
      <c r="R9"/>
      <c r="X9" s="15"/>
      <c r="Y9" s="16" t="s">
        <v>88</v>
      </c>
      <c r="Z9" s="427"/>
    </row>
    <row r="10" spans="2:30" s="5" customFormat="1" ht="15" customHeight="1" x14ac:dyDescent="0.3">
      <c r="Q10"/>
      <c r="R10"/>
      <c r="X10" s="15" t="s">
        <v>90</v>
      </c>
      <c r="Y10" s="16" t="s">
        <v>87</v>
      </c>
      <c r="Z10" s="427"/>
    </row>
    <row r="11" spans="2:30" s="5" customFormat="1" ht="15" customHeight="1" x14ac:dyDescent="0.3">
      <c r="B11" s="70" t="s">
        <v>3</v>
      </c>
      <c r="C11" s="221" t="s">
        <v>4</v>
      </c>
      <c r="D11" s="71" t="s">
        <v>5</v>
      </c>
      <c r="E11" s="71" t="s">
        <v>6</v>
      </c>
      <c r="F11" s="373" t="s">
        <v>91</v>
      </c>
      <c r="Q11"/>
      <c r="R11"/>
      <c r="X11" s="15"/>
      <c r="Y11" s="16" t="s">
        <v>88</v>
      </c>
      <c r="Z11" s="427"/>
      <c r="AB11" s="347" t="s">
        <v>92</v>
      </c>
      <c r="AC11" s="348"/>
      <c r="AD11" s="349"/>
    </row>
    <row r="12" spans="2:30" s="5" customFormat="1" ht="15" customHeight="1" x14ac:dyDescent="0.3">
      <c r="Q12"/>
      <c r="R12"/>
      <c r="X12" s="17" t="s">
        <v>93</v>
      </c>
      <c r="Y12" s="18"/>
      <c r="Z12" s="427"/>
      <c r="AB12" s="351" t="s">
        <v>94</v>
      </c>
      <c r="AC12" s="352" t="s">
        <v>95</v>
      </c>
      <c r="AD12" s="436" t="s">
        <v>96</v>
      </c>
    </row>
    <row r="13" spans="2:30" ht="14.4" x14ac:dyDescent="0.3">
      <c r="Q13"/>
      <c r="R13"/>
      <c r="X13" s="17" t="s">
        <v>97</v>
      </c>
      <c r="Y13" s="18"/>
      <c r="Z13" s="427"/>
      <c r="AB13" s="350" t="s">
        <v>35</v>
      </c>
      <c r="AC13" s="353">
        <v>0</v>
      </c>
      <c r="AD13" s="354">
        <v>0</v>
      </c>
    </row>
    <row r="14" spans="2:30" ht="14.4" x14ac:dyDescent="0.3">
      <c r="Q14"/>
      <c r="R14"/>
      <c r="X14" s="17" t="s">
        <v>98</v>
      </c>
      <c r="Y14" s="18"/>
      <c r="Z14" s="427"/>
      <c r="AA14" s="293"/>
      <c r="AB14" s="300" t="s">
        <v>36</v>
      </c>
      <c r="AC14" s="355">
        <v>0</v>
      </c>
      <c r="AD14" s="356">
        <v>0</v>
      </c>
    </row>
    <row r="15" spans="2:30" ht="12.75" customHeight="1" x14ac:dyDescent="0.3">
      <c r="Q15"/>
      <c r="R15"/>
      <c r="X15" s="17" t="s">
        <v>99</v>
      </c>
      <c r="Y15" s="18"/>
      <c r="Z15" s="427"/>
      <c r="AA15"/>
      <c r="AB15" s="300" t="s">
        <v>37</v>
      </c>
      <c r="AC15" s="357">
        <v>0</v>
      </c>
      <c r="AD15" s="358">
        <v>0</v>
      </c>
    </row>
    <row r="16" spans="2:30" ht="12.75" customHeight="1" x14ac:dyDescent="0.3">
      <c r="Q16"/>
      <c r="R16"/>
      <c r="X16" s="17" t="s">
        <v>100</v>
      </c>
      <c r="Y16" s="18"/>
      <c r="Z16" s="427"/>
      <c r="AA16"/>
      <c r="AB16" s="300" t="s">
        <v>38</v>
      </c>
      <c r="AC16" s="357">
        <v>0</v>
      </c>
      <c r="AD16" s="358">
        <v>0</v>
      </c>
    </row>
    <row r="17" spans="2:34" ht="12.75" customHeight="1" x14ac:dyDescent="0.3">
      <c r="Q17"/>
      <c r="R17"/>
      <c r="X17" s="428" t="s">
        <v>101</v>
      </c>
      <c r="Y17" s="20"/>
      <c r="Z17" s="429"/>
      <c r="AA17"/>
      <c r="AB17" s="19" t="s">
        <v>102</v>
      </c>
      <c r="AC17" s="359">
        <v>0</v>
      </c>
      <c r="AD17" s="360">
        <v>0</v>
      </c>
    </row>
    <row r="18" spans="2:34" ht="12.75" customHeight="1" x14ac:dyDescent="0.3">
      <c r="Q18"/>
      <c r="R18"/>
    </row>
    <row r="20" spans="2:34" x14ac:dyDescent="0.3">
      <c r="B20" s="437" t="s">
        <v>81</v>
      </c>
      <c r="C20" s="438"/>
      <c r="D20" s="438"/>
      <c r="E20" s="438"/>
      <c r="F20" s="438"/>
      <c r="G20" s="438"/>
      <c r="H20" s="438"/>
      <c r="I20" s="438"/>
      <c r="J20" s="438"/>
      <c r="K20" s="438"/>
      <c r="L20" s="438"/>
      <c r="M20" s="438"/>
      <c r="N20" s="490" t="s">
        <v>103</v>
      </c>
      <c r="O20" s="491"/>
      <c r="P20" s="491"/>
      <c r="Q20" s="491"/>
      <c r="R20" s="491"/>
      <c r="S20" s="491"/>
      <c r="T20" s="492"/>
      <c r="U20" s="438"/>
      <c r="V20" s="438"/>
      <c r="W20" s="438"/>
      <c r="X20" s="438"/>
      <c r="Y20" s="438"/>
      <c r="Z20" s="438"/>
      <c r="AA20" s="438"/>
      <c r="AB20" s="438"/>
      <c r="AC20" s="438"/>
      <c r="AD20" s="438"/>
      <c r="AE20" s="439"/>
      <c r="AF20" s="367"/>
    </row>
    <row r="21" spans="2:34" ht="12.75" customHeight="1" x14ac:dyDescent="0.3">
      <c r="B21" s="454" t="s">
        <v>104</v>
      </c>
      <c r="C21" s="470" t="s">
        <v>105</v>
      </c>
      <c r="D21" s="471"/>
      <c r="E21" s="493" t="s">
        <v>94</v>
      </c>
      <c r="F21" s="493" t="s">
        <v>106</v>
      </c>
      <c r="G21" s="454" t="s">
        <v>107</v>
      </c>
      <c r="H21" s="454" t="s">
        <v>108</v>
      </c>
      <c r="I21" s="454" t="s">
        <v>109</v>
      </c>
      <c r="J21" s="454" t="s">
        <v>110</v>
      </c>
      <c r="K21" s="454" t="s">
        <v>111</v>
      </c>
      <c r="L21" s="454" t="s">
        <v>112</v>
      </c>
      <c r="M21" s="454" t="s">
        <v>113</v>
      </c>
      <c r="N21" s="494" t="s">
        <v>114</v>
      </c>
      <c r="O21" s="494" t="s">
        <v>115</v>
      </c>
      <c r="P21" s="494" t="s">
        <v>116</v>
      </c>
      <c r="Q21" s="494" t="s">
        <v>117</v>
      </c>
      <c r="R21" s="512" t="s">
        <v>118</v>
      </c>
      <c r="S21" s="513"/>
      <c r="T21" s="514"/>
      <c r="U21" s="506" t="s">
        <v>119</v>
      </c>
      <c r="V21" s="507"/>
      <c r="W21" s="508"/>
      <c r="X21" s="506" t="s">
        <v>120</v>
      </c>
      <c r="Y21" s="507"/>
      <c r="Z21" s="507"/>
      <c r="AA21" s="507"/>
      <c r="AB21" s="508"/>
      <c r="AC21" s="506" t="s">
        <v>121</v>
      </c>
      <c r="AD21" s="507"/>
      <c r="AE21" s="508"/>
      <c r="AF21" s="501" t="s">
        <v>122</v>
      </c>
    </row>
    <row r="22" spans="2:34" x14ac:dyDescent="0.3">
      <c r="B22" s="455"/>
      <c r="C22" s="497"/>
      <c r="D22" s="498"/>
      <c r="E22" s="493"/>
      <c r="F22" s="493"/>
      <c r="G22" s="455"/>
      <c r="H22" s="455"/>
      <c r="I22" s="455"/>
      <c r="J22" s="455"/>
      <c r="K22" s="455"/>
      <c r="L22" s="455"/>
      <c r="M22" s="455"/>
      <c r="N22" s="495"/>
      <c r="O22" s="495"/>
      <c r="P22" s="495"/>
      <c r="Q22" s="495"/>
      <c r="R22" s="511" t="s">
        <v>95</v>
      </c>
      <c r="S22" s="511" t="s">
        <v>123</v>
      </c>
      <c r="T22" s="504" t="s">
        <v>124</v>
      </c>
      <c r="U22" s="493" t="s">
        <v>95</v>
      </c>
      <c r="V22" s="493" t="s">
        <v>123</v>
      </c>
      <c r="W22" s="509" t="s">
        <v>125</v>
      </c>
      <c r="X22" s="493" t="s">
        <v>95</v>
      </c>
      <c r="Y22" s="454" t="s">
        <v>96</v>
      </c>
      <c r="Z22" s="454" t="s">
        <v>126</v>
      </c>
      <c r="AA22" s="454" t="s">
        <v>127</v>
      </c>
      <c r="AB22" s="509" t="s">
        <v>128</v>
      </c>
      <c r="AC22" s="508" t="s">
        <v>95</v>
      </c>
      <c r="AD22" s="506" t="s">
        <v>123</v>
      </c>
      <c r="AE22" s="509" t="s">
        <v>129</v>
      </c>
      <c r="AF22" s="502"/>
    </row>
    <row r="23" spans="2:34" x14ac:dyDescent="0.3">
      <c r="B23" s="456"/>
      <c r="C23" s="499"/>
      <c r="D23" s="500"/>
      <c r="E23" s="493"/>
      <c r="F23" s="493"/>
      <c r="G23" s="456"/>
      <c r="H23" s="456"/>
      <c r="I23" s="456"/>
      <c r="J23" s="456"/>
      <c r="K23" s="456"/>
      <c r="L23" s="456"/>
      <c r="M23" s="456"/>
      <c r="N23" s="496"/>
      <c r="O23" s="496"/>
      <c r="P23" s="496"/>
      <c r="Q23" s="496"/>
      <c r="R23" s="511"/>
      <c r="S23" s="511"/>
      <c r="T23" s="505"/>
      <c r="U23" s="493"/>
      <c r="V23" s="493"/>
      <c r="W23" s="510"/>
      <c r="X23" s="493"/>
      <c r="Y23" s="456"/>
      <c r="Z23" s="456"/>
      <c r="AA23" s="456"/>
      <c r="AB23" s="510"/>
      <c r="AC23" s="508"/>
      <c r="AD23" s="506"/>
      <c r="AE23" s="510"/>
      <c r="AF23" s="503"/>
    </row>
    <row r="24" spans="2:34" x14ac:dyDescent="0.3">
      <c r="B24" s="270">
        <v>1</v>
      </c>
      <c r="C24" s="267" t="s">
        <v>130</v>
      </c>
      <c r="D24" s="208"/>
      <c r="E24" s="209" t="s">
        <v>131</v>
      </c>
      <c r="F24" s="210">
        <v>0</v>
      </c>
      <c r="G24" s="279" t="s">
        <v>132</v>
      </c>
      <c r="H24" s="279">
        <v>0</v>
      </c>
      <c r="I24" s="291">
        <f t="shared" ref="I24:I55" si="0">F24*H24</f>
        <v>0</v>
      </c>
      <c r="J24" s="296" t="s">
        <v>131</v>
      </c>
      <c r="K24" s="281" t="s">
        <v>131</v>
      </c>
      <c r="L24" s="218" t="s">
        <v>131</v>
      </c>
      <c r="M24" s="336" t="s">
        <v>131</v>
      </c>
      <c r="N24" s="331">
        <v>0</v>
      </c>
      <c r="O24" s="336" t="s">
        <v>131</v>
      </c>
      <c r="P24" s="362" t="str">
        <f>IFERROR(INDEX(Data!$B$28:$B$46,MATCH('Rent Roll'!$N24,INDEX(Data!$B$28:$J$46,,MATCH('Rent Roll'!$O24,Data!$B$28:$J$28,0)),-1),1),"NA")</f>
        <v>NA</v>
      </c>
      <c r="Q24" s="279" t="s">
        <v>132</v>
      </c>
      <c r="R24" s="216">
        <v>0</v>
      </c>
      <c r="S24" s="76">
        <f t="shared" ref="S24:S55" si="1">IFERROR(R24/$F24,0)</f>
        <v>0</v>
      </c>
      <c r="T24" s="115">
        <f t="shared" ref="T24:T55" si="2">IF(G24="Y",R24*$H24*12,0)</f>
        <v>0</v>
      </c>
      <c r="U24" s="216">
        <v>0</v>
      </c>
      <c r="V24" s="76">
        <f t="shared" ref="V24:V55" si="3">IFERROR(U24/$F24,0)</f>
        <v>0</v>
      </c>
      <c r="W24" s="115">
        <f>U24*$H24*12</f>
        <v>0</v>
      </c>
      <c r="X24" s="83">
        <f>IFERROR(IF(INDEX(AC$13:AC$17,MATCH($E24,$AB$13:$AB$17,0))&lt;&gt;0,INDEX(AC$13:AC$17,MATCH($E24,$AB$13:$AB$17,0)),
IF($N24="MKT",0,IF($L24="HUD FMR",INDEX(Data!$B$21:$G$21,MATCH($E24,Data!$B$9:$G$9,0))*$N24,INDEX(Data!$B$9:$G$22,MATCH($K24,Data!$B$9:$B$22,0),MATCH($E24,Data!$B$9:$G$9,0))))),0)</f>
        <v>0</v>
      </c>
      <c r="Y24" s="83">
        <f>IFERROR(IF(INDEX(AD$13:AD$17,MATCH($E24,$AB$13:$AB$17,0))&lt;&gt;0,INDEX(AD$13:AD$17,MATCH($E24,$AB$13:$AB$17,0)),
IF($K24="MKT",0,-INDEX(Data!$B$22:$G$22,MATCH($E24,Data!$B$9:$G$9,0)))),0)</f>
        <v>0</v>
      </c>
      <c r="Z24" s="82">
        <f t="shared" ref="Z24:Z55" si="4">SUM(X24:Y24)</f>
        <v>0</v>
      </c>
      <c r="AA24" s="76">
        <f t="shared" ref="AA24:AA55" si="5">IFERROR(Z24/$F24,0)</f>
        <v>0</v>
      </c>
      <c r="AB24" s="115">
        <f>Z24*$H24*12</f>
        <v>0</v>
      </c>
      <c r="AC24" s="96">
        <f>IF(AND($R24=$U24,$R24&gt;0,$U24&gt;0,$Z24&gt;0),MIN($R24,$U24,$Z24),
IF(AND($R24&lt;$U24,$Z24&gt;0),MIN($U24,$Z24),
IF($Z24=0,$U24)))</f>
        <v>0</v>
      </c>
      <c r="AD24" s="99">
        <f t="shared" ref="AD24:AD55" si="6">IFERROR(AC24/$F24,0)</f>
        <v>0</v>
      </c>
      <c r="AE24" s="115">
        <f>AC24*$H24*12</f>
        <v>0</v>
      </c>
      <c r="AF24" s="370" t="str">
        <f>IFERROR(IF(AE24=0,"NA",
IF(G24="N",IF(OR(J24="PBV",J24="HCV",(AC24-Y24)&lt;=(INDEX(Data!$C$29:$J$46,MATCH('Rent Roll'!$K24,Data!$B$29:$B$46,0),MATCH($M24,Data!$C$28:$J$28,0))/12*0.3)),"Y","N"),
IF(OR(J24="PBV",J24="HCV",AND((AC24/R24-1)&lt;=0.05,(AC24-Y24)&lt;=(N24/12*0.3))),"Y","N"))),"NA")</f>
        <v>NA</v>
      </c>
      <c r="AH24" s="372"/>
    </row>
    <row r="25" spans="2:34" x14ac:dyDescent="0.3">
      <c r="B25" s="271">
        <v>2</v>
      </c>
      <c r="C25" s="268" t="s">
        <v>130</v>
      </c>
      <c r="D25" s="212"/>
      <c r="E25" s="213" t="s">
        <v>131</v>
      </c>
      <c r="F25" s="214">
        <v>0</v>
      </c>
      <c r="G25" s="280" t="s">
        <v>132</v>
      </c>
      <c r="H25" s="287">
        <v>0</v>
      </c>
      <c r="I25" s="292">
        <f t="shared" si="0"/>
        <v>0</v>
      </c>
      <c r="J25" s="297" t="s">
        <v>131</v>
      </c>
      <c r="K25" s="282" t="s">
        <v>131</v>
      </c>
      <c r="L25" s="219" t="s">
        <v>131</v>
      </c>
      <c r="M25" s="337" t="s">
        <v>131</v>
      </c>
      <c r="N25" s="332">
        <v>0</v>
      </c>
      <c r="O25" s="337" t="s">
        <v>131</v>
      </c>
      <c r="P25" s="363" t="str">
        <f>IFERROR(INDEX(Data!$B$28:$B$46,MATCH('Rent Roll'!$N25,INDEX(Data!$B$28:$J$46,,MATCH('Rent Roll'!$O25,Data!$B$28:$J$28,0)),-1),1),"NA")</f>
        <v>NA</v>
      </c>
      <c r="Q25" s="280" t="s">
        <v>132</v>
      </c>
      <c r="R25" s="217">
        <v>0</v>
      </c>
      <c r="S25" s="77">
        <f t="shared" si="1"/>
        <v>0</v>
      </c>
      <c r="T25" s="116">
        <f t="shared" si="2"/>
        <v>0</v>
      </c>
      <c r="U25" s="217">
        <v>0</v>
      </c>
      <c r="V25" s="77">
        <f t="shared" si="3"/>
        <v>0</v>
      </c>
      <c r="W25" s="116">
        <f t="shared" ref="W25:W88" si="7">U25*$H25*12</f>
        <v>0</v>
      </c>
      <c r="X25" s="84">
        <f>IFERROR(IF(INDEX(AC$13:AC$17,MATCH($E25,$AB$13:$AB$17,0))&lt;&gt;0,INDEX(AC$13:AC$17,MATCH($E25,$AB$13:$AB$17,0)),
IF($N25="MKT",0,IF($L25="HUD FMR",INDEX(Data!$B$21:$G$21,MATCH($E25,Data!$B$9:$G$9,0))*$N25,INDEX(Data!$B$9:$G$22,MATCH($K25,Data!$B$9:$B$22,0),MATCH($E25,Data!$B$9:$G$9,0))))),0)</f>
        <v>0</v>
      </c>
      <c r="Y25" s="84">
        <f>IFERROR(IF(INDEX(AD$13:AD$17,MATCH($E25,$AB$13:$AB$17,0))&lt;&gt;0,INDEX(AD$13:AD$17,MATCH($E25,$AB$13:$AB$17,0)),
IF($K25="MKT",0,-INDEX(Data!$B$22:$G$22,MATCH($E25,Data!$B$9:$G$9,0)))),0)</f>
        <v>0</v>
      </c>
      <c r="Z25" s="88">
        <f t="shared" si="4"/>
        <v>0</v>
      </c>
      <c r="AA25" s="77">
        <f t="shared" si="5"/>
        <v>0</v>
      </c>
      <c r="AB25" s="116">
        <f t="shared" ref="AB25:AB88" si="8">Z25*$H25*12</f>
        <v>0</v>
      </c>
      <c r="AC25" s="97">
        <f t="shared" ref="AC25:AC88" si="9">IF(AND($R25=$U25,$R25&gt;0,$U25&gt;0,$Z25&gt;0),MIN($R25,$U25,$Z25),
IF(AND($R25&lt;$U25,$Z25&gt;0),MIN($U25,$Z25),
IF($Z25=0,$U25)))</f>
        <v>0</v>
      </c>
      <c r="AD25" s="100">
        <f t="shared" si="6"/>
        <v>0</v>
      </c>
      <c r="AE25" s="116">
        <f t="shared" ref="AE25:AE88" si="10">AC25*$H25*12</f>
        <v>0</v>
      </c>
      <c r="AF25" s="371" t="str">
        <f>IFERROR(IF(AE25=0,"NA",
IF(G25="N",IF(OR(J25="PBV",J25="HCV",(AC25-Y25)&lt;=(INDEX(Data!$C$29:$J$46,MATCH('Rent Roll'!$K25,Data!$B$29:$B$46,0),MATCH($M25,Data!$C$28:$J$28,0))/12*0.3)),"Y","N"),
IF(OR(J25="PBV",J25="HCV",AND((AC25/R25-1)&lt;=0.05,(AC25-Y25)&lt;=(N25/12*0.3))),"Y","N"))),"NA")</f>
        <v>NA</v>
      </c>
      <c r="AG25" s="80"/>
    </row>
    <row r="26" spans="2:34" x14ac:dyDescent="0.3">
      <c r="B26" s="271">
        <v>3</v>
      </c>
      <c r="C26" s="268" t="s">
        <v>130</v>
      </c>
      <c r="D26" s="212"/>
      <c r="E26" s="213" t="s">
        <v>131</v>
      </c>
      <c r="F26" s="214">
        <v>0</v>
      </c>
      <c r="G26" s="280" t="s">
        <v>132</v>
      </c>
      <c r="H26" s="287">
        <v>0</v>
      </c>
      <c r="I26" s="292">
        <f t="shared" si="0"/>
        <v>0</v>
      </c>
      <c r="J26" s="297" t="s">
        <v>131</v>
      </c>
      <c r="K26" s="282" t="s">
        <v>131</v>
      </c>
      <c r="L26" s="219" t="s">
        <v>131</v>
      </c>
      <c r="M26" s="337" t="s">
        <v>131</v>
      </c>
      <c r="N26" s="332">
        <v>0</v>
      </c>
      <c r="O26" s="337" t="s">
        <v>131</v>
      </c>
      <c r="P26" s="363" t="str">
        <f>IFERROR(INDEX(Data!$B$28:$B$46,MATCH('Rent Roll'!$N26,INDEX(Data!$B$28:$J$46,,MATCH('Rent Roll'!$O26,Data!$B$28:$J$28,0)),-1),1),"NA")</f>
        <v>NA</v>
      </c>
      <c r="Q26" s="280" t="s">
        <v>132</v>
      </c>
      <c r="R26" s="217">
        <v>0</v>
      </c>
      <c r="S26" s="77">
        <f t="shared" si="1"/>
        <v>0</v>
      </c>
      <c r="T26" s="116">
        <f t="shared" si="2"/>
        <v>0</v>
      </c>
      <c r="U26" s="217">
        <v>0</v>
      </c>
      <c r="V26" s="77">
        <f t="shared" si="3"/>
        <v>0</v>
      </c>
      <c r="W26" s="116">
        <f t="shared" si="7"/>
        <v>0</v>
      </c>
      <c r="X26" s="84">
        <f>IFERROR(IF(INDEX(AC$13:AC$17,MATCH($E26,$AB$13:$AB$17,0))&lt;&gt;0,INDEX(AC$13:AC$17,MATCH($E26,$AB$13:$AB$17,0)),
IF($N26="MKT",0,IF($L26="HUD FMR",INDEX(Data!$B$21:$G$21,MATCH($E26,Data!$B$9:$G$9,0))*$N26,INDEX(Data!$B$9:$G$22,MATCH($K26,Data!$B$9:$B$22,0),MATCH($E26,Data!$B$9:$G$9,0))))),0)</f>
        <v>0</v>
      </c>
      <c r="Y26" s="84">
        <f>IFERROR(IF(INDEX(AD$13:AD$17,MATCH($E26,$AB$13:$AB$17,0))&lt;&gt;0,INDEX(AD$13:AD$17,MATCH($E26,$AB$13:$AB$17,0)),
IF($K26="MKT",0,-INDEX(Data!$B$22:$G$22,MATCH($E26,Data!$B$9:$G$9,0)))),0)</f>
        <v>0</v>
      </c>
      <c r="Z26" s="88">
        <f t="shared" si="4"/>
        <v>0</v>
      </c>
      <c r="AA26" s="77">
        <f t="shared" si="5"/>
        <v>0</v>
      </c>
      <c r="AB26" s="116">
        <f t="shared" si="8"/>
        <v>0</v>
      </c>
      <c r="AC26" s="97">
        <f t="shared" si="9"/>
        <v>0</v>
      </c>
      <c r="AD26" s="100">
        <f t="shared" si="6"/>
        <v>0</v>
      </c>
      <c r="AE26" s="116">
        <f t="shared" si="10"/>
        <v>0</v>
      </c>
      <c r="AF26" s="371" t="str">
        <f>IFERROR(IF(AE26=0,"NA",
IF(G26="N",IF(OR(J26="PBV",J26="HCV",(AC26-Y26)&lt;=(INDEX(Data!$C$29:$J$46,MATCH('Rent Roll'!$K26,Data!$B$29:$B$46,0),MATCH($M26,Data!$C$28:$J$28,0))/12*0.3)),"Y","N"),
IF(OR(J26="PBV",J26="HCV",AND((AC26/R26-1)&lt;=0.05,(AC26-Y26)&lt;=(N26/12*0.3))),"Y","N"))),"NA")</f>
        <v>NA</v>
      </c>
    </row>
    <row r="27" spans="2:34" x14ac:dyDescent="0.3">
      <c r="B27" s="271">
        <v>4</v>
      </c>
      <c r="C27" s="268" t="s">
        <v>130</v>
      </c>
      <c r="D27" s="212"/>
      <c r="E27" s="213" t="s">
        <v>131</v>
      </c>
      <c r="F27" s="214">
        <v>0</v>
      </c>
      <c r="G27" s="280" t="s">
        <v>132</v>
      </c>
      <c r="H27" s="287">
        <v>0</v>
      </c>
      <c r="I27" s="292">
        <f t="shared" si="0"/>
        <v>0</v>
      </c>
      <c r="J27" s="297" t="s">
        <v>131</v>
      </c>
      <c r="K27" s="282" t="s">
        <v>131</v>
      </c>
      <c r="L27" s="219" t="s">
        <v>131</v>
      </c>
      <c r="M27" s="337" t="s">
        <v>131</v>
      </c>
      <c r="N27" s="332">
        <v>0</v>
      </c>
      <c r="O27" s="337" t="s">
        <v>131</v>
      </c>
      <c r="P27" s="363" t="str">
        <f>IFERROR(INDEX(Data!$B$28:$B$46,MATCH('Rent Roll'!$N27,INDEX(Data!$B$28:$J$46,,MATCH('Rent Roll'!$O27,Data!$B$28:$J$28,0)),-1),1),"NA")</f>
        <v>NA</v>
      </c>
      <c r="Q27" s="280" t="s">
        <v>132</v>
      </c>
      <c r="R27" s="217">
        <v>0</v>
      </c>
      <c r="S27" s="77">
        <f t="shared" si="1"/>
        <v>0</v>
      </c>
      <c r="T27" s="116">
        <f t="shared" si="2"/>
        <v>0</v>
      </c>
      <c r="U27" s="217">
        <v>0</v>
      </c>
      <c r="V27" s="77">
        <f t="shared" si="3"/>
        <v>0</v>
      </c>
      <c r="W27" s="116">
        <f t="shared" si="7"/>
        <v>0</v>
      </c>
      <c r="X27" s="84">
        <f>IFERROR(IF(INDEX(AC$13:AC$17,MATCH($E27,$AB$13:$AB$17,0))&lt;&gt;0,INDEX(AC$13:AC$17,MATCH($E27,$AB$13:$AB$17,0)),
IF($N27="MKT",0,IF($L27="HUD FMR",INDEX(Data!$B$21:$G$21,MATCH($E27,Data!$B$9:$G$9,0))*$N27,INDEX(Data!$B$9:$G$22,MATCH($K27,Data!$B$9:$B$22,0),MATCH($E27,Data!$B$9:$G$9,0))))),0)</f>
        <v>0</v>
      </c>
      <c r="Y27" s="84">
        <f>IFERROR(IF(INDEX(AD$13:AD$17,MATCH($E27,$AB$13:$AB$17,0))&lt;&gt;0,INDEX(AD$13:AD$17,MATCH($E27,$AB$13:$AB$17,0)),
IF($K27="MKT",0,-INDEX(Data!$B$22:$G$22,MATCH($E27,Data!$B$9:$G$9,0)))),0)</f>
        <v>0</v>
      </c>
      <c r="Z27" s="88">
        <f t="shared" si="4"/>
        <v>0</v>
      </c>
      <c r="AA27" s="77">
        <f t="shared" si="5"/>
        <v>0</v>
      </c>
      <c r="AB27" s="116">
        <f t="shared" si="8"/>
        <v>0</v>
      </c>
      <c r="AC27" s="97">
        <f t="shared" si="9"/>
        <v>0</v>
      </c>
      <c r="AD27" s="100">
        <f t="shared" si="6"/>
        <v>0</v>
      </c>
      <c r="AE27" s="116">
        <f t="shared" si="10"/>
        <v>0</v>
      </c>
      <c r="AF27" s="371" t="str">
        <f>IFERROR(IF(AE27=0,"NA",
IF(G27="N",IF(OR(J27="PBV",J27="HCV",(AC27-Y27)&lt;=(INDEX(Data!$C$29:$J$46,MATCH('Rent Roll'!$K27,Data!$B$29:$B$46,0),MATCH($M27,Data!$C$28:$J$28,0))/12*0.3)),"Y","N"),
IF(OR(J27="PBV",J27="HCV",AND((AC27/R27-1)&lt;=0.05,(AC27-Y27)&lt;=(N27/12*0.3))),"Y","N"))),"NA")</f>
        <v>NA</v>
      </c>
    </row>
    <row r="28" spans="2:34" x14ac:dyDescent="0.3">
      <c r="B28" s="271">
        <v>5</v>
      </c>
      <c r="C28" s="268" t="s">
        <v>130</v>
      </c>
      <c r="D28" s="212"/>
      <c r="E28" s="213" t="s">
        <v>131</v>
      </c>
      <c r="F28" s="214">
        <v>0</v>
      </c>
      <c r="G28" s="280" t="s">
        <v>132</v>
      </c>
      <c r="H28" s="287">
        <v>0</v>
      </c>
      <c r="I28" s="292">
        <f t="shared" si="0"/>
        <v>0</v>
      </c>
      <c r="J28" s="297" t="s">
        <v>131</v>
      </c>
      <c r="K28" s="282" t="s">
        <v>131</v>
      </c>
      <c r="L28" s="219" t="s">
        <v>131</v>
      </c>
      <c r="M28" s="337" t="s">
        <v>131</v>
      </c>
      <c r="N28" s="332">
        <v>0</v>
      </c>
      <c r="O28" s="337" t="s">
        <v>131</v>
      </c>
      <c r="P28" s="363" t="str">
        <f>IFERROR(INDEX(Data!$B$28:$B$46,MATCH('Rent Roll'!$N28,INDEX(Data!$B$28:$J$46,,MATCH('Rent Roll'!$O28,Data!$B$28:$J$28,0)),-1),1),"NA")</f>
        <v>NA</v>
      </c>
      <c r="Q28" s="280" t="s">
        <v>132</v>
      </c>
      <c r="R28" s="217">
        <v>0</v>
      </c>
      <c r="S28" s="77">
        <f t="shared" si="1"/>
        <v>0</v>
      </c>
      <c r="T28" s="116">
        <f t="shared" si="2"/>
        <v>0</v>
      </c>
      <c r="U28" s="217">
        <v>0</v>
      </c>
      <c r="V28" s="77">
        <f t="shared" si="3"/>
        <v>0</v>
      </c>
      <c r="W28" s="116">
        <f t="shared" si="7"/>
        <v>0</v>
      </c>
      <c r="X28" s="84">
        <f>IFERROR(IF(INDEX(AC$13:AC$17,MATCH($E28,$AB$13:$AB$17,0))&lt;&gt;0,INDEX(AC$13:AC$17,MATCH($E28,$AB$13:$AB$17,0)),
IF($N28="MKT",0,IF($L28="HUD FMR",INDEX(Data!$B$21:$G$21,MATCH($E28,Data!$B$9:$G$9,0))*$N28,INDEX(Data!$B$9:$G$22,MATCH($K28,Data!$B$9:$B$22,0),MATCH($E28,Data!$B$9:$G$9,0))))),0)</f>
        <v>0</v>
      </c>
      <c r="Y28" s="84">
        <f>IFERROR(IF(INDEX(AD$13:AD$17,MATCH($E28,$AB$13:$AB$17,0))&lt;&gt;0,INDEX(AD$13:AD$17,MATCH($E28,$AB$13:$AB$17,0)),
IF($K28="MKT",0,-INDEX(Data!$B$22:$G$22,MATCH($E28,Data!$B$9:$G$9,0)))),0)</f>
        <v>0</v>
      </c>
      <c r="Z28" s="88">
        <f t="shared" si="4"/>
        <v>0</v>
      </c>
      <c r="AA28" s="77">
        <f t="shared" si="5"/>
        <v>0</v>
      </c>
      <c r="AB28" s="116">
        <f t="shared" si="8"/>
        <v>0</v>
      </c>
      <c r="AC28" s="97">
        <f t="shared" si="9"/>
        <v>0</v>
      </c>
      <c r="AD28" s="100">
        <f t="shared" si="6"/>
        <v>0</v>
      </c>
      <c r="AE28" s="116">
        <f t="shared" si="10"/>
        <v>0</v>
      </c>
      <c r="AF28" s="371" t="str">
        <f>IFERROR(IF(AE28=0,"NA",
IF(G28="N",IF(OR(J28="PBV",J28="HCV",(AC28-Y28)&lt;=(INDEX(Data!$C$29:$J$46,MATCH('Rent Roll'!$K28,Data!$B$29:$B$46,0),MATCH($M28,Data!$C$28:$J$28,0))/12*0.3)),"Y","N"),
IF(OR(J28="PBV",J28="HCV",AND((AC28/R28-1)&lt;=0.05,(AC28-Y28)&lt;=(N28/12*0.3))),"Y","N"))),"NA")</f>
        <v>NA</v>
      </c>
    </row>
    <row r="29" spans="2:34" x14ac:dyDescent="0.3">
      <c r="B29" s="271">
        <v>6</v>
      </c>
      <c r="C29" s="268" t="s">
        <v>130</v>
      </c>
      <c r="D29" s="212"/>
      <c r="E29" s="213" t="s">
        <v>131</v>
      </c>
      <c r="F29" s="214">
        <v>0</v>
      </c>
      <c r="G29" s="280" t="s">
        <v>132</v>
      </c>
      <c r="H29" s="287">
        <v>0</v>
      </c>
      <c r="I29" s="292">
        <f t="shared" si="0"/>
        <v>0</v>
      </c>
      <c r="J29" s="297" t="s">
        <v>131</v>
      </c>
      <c r="K29" s="282" t="s">
        <v>131</v>
      </c>
      <c r="L29" s="219" t="s">
        <v>131</v>
      </c>
      <c r="M29" s="337" t="s">
        <v>131</v>
      </c>
      <c r="N29" s="332">
        <v>0</v>
      </c>
      <c r="O29" s="337" t="s">
        <v>131</v>
      </c>
      <c r="P29" s="363" t="str">
        <f>IFERROR(INDEX(Data!$B$28:$B$46,MATCH('Rent Roll'!$N29,INDEX(Data!$B$28:$J$46,,MATCH('Rent Roll'!$O29,Data!$B$28:$J$28,0)),-1),1),"NA")</f>
        <v>NA</v>
      </c>
      <c r="Q29" s="280" t="s">
        <v>132</v>
      </c>
      <c r="R29" s="217">
        <v>0</v>
      </c>
      <c r="S29" s="77">
        <f t="shared" si="1"/>
        <v>0</v>
      </c>
      <c r="T29" s="116">
        <f t="shared" si="2"/>
        <v>0</v>
      </c>
      <c r="U29" s="217">
        <v>0</v>
      </c>
      <c r="V29" s="77">
        <f t="shared" si="3"/>
        <v>0</v>
      </c>
      <c r="W29" s="116">
        <f t="shared" si="7"/>
        <v>0</v>
      </c>
      <c r="X29" s="84">
        <f>IFERROR(IF(INDEX(AC$13:AC$17,MATCH($E29,$AB$13:$AB$17,0))&lt;&gt;0,INDEX(AC$13:AC$17,MATCH($E29,$AB$13:$AB$17,0)),
IF($N29="MKT",0,IF($L29="HUD FMR",INDEX(Data!$B$21:$G$21,MATCH($E29,Data!$B$9:$G$9,0))*$N29,INDEX(Data!$B$9:$G$22,MATCH($K29,Data!$B$9:$B$22,0),MATCH($E29,Data!$B$9:$G$9,0))))),0)</f>
        <v>0</v>
      </c>
      <c r="Y29" s="84">
        <f>IFERROR(IF(INDEX(AD$13:AD$17,MATCH($E29,$AB$13:$AB$17,0))&lt;&gt;0,INDEX(AD$13:AD$17,MATCH($E29,$AB$13:$AB$17,0)),
IF($K29="MKT",0,-INDEX(Data!$B$22:$G$22,MATCH($E29,Data!$B$9:$G$9,0)))),0)</f>
        <v>0</v>
      </c>
      <c r="Z29" s="88">
        <f t="shared" si="4"/>
        <v>0</v>
      </c>
      <c r="AA29" s="77">
        <f t="shared" si="5"/>
        <v>0</v>
      </c>
      <c r="AB29" s="116">
        <f t="shared" si="8"/>
        <v>0</v>
      </c>
      <c r="AC29" s="97">
        <f t="shared" si="9"/>
        <v>0</v>
      </c>
      <c r="AD29" s="100">
        <f t="shared" si="6"/>
        <v>0</v>
      </c>
      <c r="AE29" s="116">
        <f t="shared" si="10"/>
        <v>0</v>
      </c>
      <c r="AF29" s="371" t="str">
        <f>IFERROR(IF(AE29=0,"NA",
IF(G29="N",IF(OR(J29="PBV",J29="HCV",(AC29-Y29)&lt;=(INDEX(Data!$C$29:$J$46,MATCH('Rent Roll'!$K29,Data!$B$29:$B$46,0),MATCH($M29,Data!$C$28:$J$28,0))/12*0.3)),"Y","N"),
IF(OR(J29="PBV",J29="HCV",AND((AC29/R29-1)&lt;=0.05,(AC29-Y29)&lt;=(N29/12*0.3))),"Y","N"))),"NA")</f>
        <v>NA</v>
      </c>
    </row>
    <row r="30" spans="2:34" x14ac:dyDescent="0.3">
      <c r="B30" s="271">
        <v>7</v>
      </c>
      <c r="C30" s="268" t="s">
        <v>130</v>
      </c>
      <c r="D30" s="212"/>
      <c r="E30" s="213" t="s">
        <v>131</v>
      </c>
      <c r="F30" s="214">
        <v>0</v>
      </c>
      <c r="G30" s="280" t="s">
        <v>132</v>
      </c>
      <c r="H30" s="287">
        <v>0</v>
      </c>
      <c r="I30" s="292">
        <f t="shared" si="0"/>
        <v>0</v>
      </c>
      <c r="J30" s="297" t="s">
        <v>131</v>
      </c>
      <c r="K30" s="282" t="s">
        <v>131</v>
      </c>
      <c r="L30" s="219" t="s">
        <v>131</v>
      </c>
      <c r="M30" s="337" t="s">
        <v>131</v>
      </c>
      <c r="N30" s="332">
        <v>0</v>
      </c>
      <c r="O30" s="337" t="s">
        <v>131</v>
      </c>
      <c r="P30" s="363" t="str">
        <f>IFERROR(INDEX(Data!$B$28:$B$46,MATCH('Rent Roll'!$N30,INDEX(Data!$B$28:$J$46,,MATCH('Rent Roll'!$O30,Data!$B$28:$J$28,0)),-1),1),"NA")</f>
        <v>NA</v>
      </c>
      <c r="Q30" s="280" t="s">
        <v>132</v>
      </c>
      <c r="R30" s="217">
        <v>0</v>
      </c>
      <c r="S30" s="77">
        <f t="shared" si="1"/>
        <v>0</v>
      </c>
      <c r="T30" s="116">
        <f t="shared" si="2"/>
        <v>0</v>
      </c>
      <c r="U30" s="217">
        <v>0</v>
      </c>
      <c r="V30" s="77">
        <f t="shared" si="3"/>
        <v>0</v>
      </c>
      <c r="W30" s="116">
        <f t="shared" si="7"/>
        <v>0</v>
      </c>
      <c r="X30" s="84">
        <f>IFERROR(IF(INDEX(AC$13:AC$17,MATCH($E30,$AB$13:$AB$17,0))&lt;&gt;0,INDEX(AC$13:AC$17,MATCH($E30,$AB$13:$AB$17,0)),
IF($N30="MKT",0,IF($L30="HUD FMR",INDEX(Data!$B$21:$G$21,MATCH($E30,Data!$B$9:$G$9,0))*$N30,INDEX(Data!$B$9:$G$22,MATCH($K30,Data!$B$9:$B$22,0),MATCH($E30,Data!$B$9:$G$9,0))))),0)</f>
        <v>0</v>
      </c>
      <c r="Y30" s="84">
        <f>IFERROR(IF(INDEX(AD$13:AD$17,MATCH($E30,$AB$13:$AB$17,0))&lt;&gt;0,INDEX(AD$13:AD$17,MATCH($E30,$AB$13:$AB$17,0)),
IF($K30="MKT",0,-INDEX(Data!$B$22:$G$22,MATCH($E30,Data!$B$9:$G$9,0)))),0)</f>
        <v>0</v>
      </c>
      <c r="Z30" s="88">
        <f t="shared" si="4"/>
        <v>0</v>
      </c>
      <c r="AA30" s="77">
        <f t="shared" si="5"/>
        <v>0</v>
      </c>
      <c r="AB30" s="116">
        <f t="shared" si="8"/>
        <v>0</v>
      </c>
      <c r="AC30" s="97">
        <f t="shared" si="9"/>
        <v>0</v>
      </c>
      <c r="AD30" s="100">
        <f t="shared" si="6"/>
        <v>0</v>
      </c>
      <c r="AE30" s="116">
        <f t="shared" si="10"/>
        <v>0</v>
      </c>
      <c r="AF30" s="371" t="str">
        <f>IFERROR(IF(AE30=0,"NA",
IF(G30="N",IF(OR(J30="PBV",J30="HCV",(AC30-Y30)&lt;=(INDEX(Data!$C$29:$J$46,MATCH('Rent Roll'!$K30,Data!$B$29:$B$46,0),MATCH($M30,Data!$C$28:$J$28,0))/12*0.3)),"Y","N"),
IF(OR(J30="PBV",J30="HCV",AND((AC30/R30-1)&lt;=0.05,(AC30-Y30)&lt;=(N30/12*0.3))),"Y","N"))),"NA")</f>
        <v>NA</v>
      </c>
    </row>
    <row r="31" spans="2:34" x14ac:dyDescent="0.3">
      <c r="B31" s="271">
        <v>8</v>
      </c>
      <c r="C31" s="268" t="s">
        <v>130</v>
      </c>
      <c r="D31" s="212"/>
      <c r="E31" s="213" t="s">
        <v>131</v>
      </c>
      <c r="F31" s="214">
        <v>0</v>
      </c>
      <c r="G31" s="280" t="s">
        <v>132</v>
      </c>
      <c r="H31" s="287">
        <v>0</v>
      </c>
      <c r="I31" s="292">
        <f t="shared" si="0"/>
        <v>0</v>
      </c>
      <c r="J31" s="297" t="s">
        <v>131</v>
      </c>
      <c r="K31" s="282" t="s">
        <v>131</v>
      </c>
      <c r="L31" s="219" t="s">
        <v>131</v>
      </c>
      <c r="M31" s="337" t="s">
        <v>131</v>
      </c>
      <c r="N31" s="332">
        <v>0</v>
      </c>
      <c r="O31" s="337" t="s">
        <v>131</v>
      </c>
      <c r="P31" s="363" t="str">
        <f>IFERROR(INDEX(Data!$B$28:$B$46,MATCH('Rent Roll'!$N31,INDEX(Data!$B$28:$J$46,,MATCH('Rent Roll'!$O31,Data!$B$28:$J$28,0)),-1),1),"NA")</f>
        <v>NA</v>
      </c>
      <c r="Q31" s="280" t="s">
        <v>132</v>
      </c>
      <c r="R31" s="217">
        <v>0</v>
      </c>
      <c r="S31" s="77">
        <f t="shared" si="1"/>
        <v>0</v>
      </c>
      <c r="T31" s="116">
        <f t="shared" si="2"/>
        <v>0</v>
      </c>
      <c r="U31" s="217">
        <v>0</v>
      </c>
      <c r="V31" s="77">
        <f t="shared" si="3"/>
        <v>0</v>
      </c>
      <c r="W31" s="116">
        <f t="shared" si="7"/>
        <v>0</v>
      </c>
      <c r="X31" s="84">
        <f>IFERROR(IF(INDEX(AC$13:AC$17,MATCH($E31,$AB$13:$AB$17,0))&lt;&gt;0,INDEX(AC$13:AC$17,MATCH($E31,$AB$13:$AB$17,0)),
IF($N31="MKT",0,IF($L31="HUD FMR",INDEX(Data!$B$21:$G$21,MATCH($E31,Data!$B$9:$G$9,0))*$N31,INDEX(Data!$B$9:$G$22,MATCH($K31,Data!$B$9:$B$22,0),MATCH($E31,Data!$B$9:$G$9,0))))),0)</f>
        <v>0</v>
      </c>
      <c r="Y31" s="84">
        <f>IFERROR(IF(INDEX(AD$13:AD$17,MATCH($E31,$AB$13:$AB$17,0))&lt;&gt;0,INDEX(AD$13:AD$17,MATCH($E31,$AB$13:$AB$17,0)),
IF($K31="MKT",0,-INDEX(Data!$B$22:$G$22,MATCH($E31,Data!$B$9:$G$9,0)))),0)</f>
        <v>0</v>
      </c>
      <c r="Z31" s="88">
        <f t="shared" si="4"/>
        <v>0</v>
      </c>
      <c r="AA31" s="77">
        <f t="shared" si="5"/>
        <v>0</v>
      </c>
      <c r="AB31" s="116">
        <f t="shared" si="8"/>
        <v>0</v>
      </c>
      <c r="AC31" s="97">
        <f t="shared" si="9"/>
        <v>0</v>
      </c>
      <c r="AD31" s="100">
        <f t="shared" si="6"/>
        <v>0</v>
      </c>
      <c r="AE31" s="116">
        <f t="shared" si="10"/>
        <v>0</v>
      </c>
      <c r="AF31" s="371" t="str">
        <f>IFERROR(IF(AE31=0,"NA",
IF(G31="N",IF(OR(J31="PBV",J31="HCV",(AC31-Y31)&lt;=(INDEX(Data!$C$29:$J$46,MATCH('Rent Roll'!$K31,Data!$B$29:$B$46,0),MATCH($M31,Data!$C$28:$J$28,0))/12*0.3)),"Y","N"),
IF(OR(J31="PBV",J31="HCV",AND((AC31/R31-1)&lt;=0.05,(AC31-Y31)&lt;=(N31/12*0.3))),"Y","N"))),"NA")</f>
        <v>NA</v>
      </c>
    </row>
    <row r="32" spans="2:34" x14ac:dyDescent="0.3">
      <c r="B32" s="271">
        <v>9</v>
      </c>
      <c r="C32" s="268" t="s">
        <v>130</v>
      </c>
      <c r="D32" s="212"/>
      <c r="E32" s="213" t="s">
        <v>131</v>
      </c>
      <c r="F32" s="214">
        <v>0</v>
      </c>
      <c r="G32" s="280" t="s">
        <v>132</v>
      </c>
      <c r="H32" s="287">
        <v>0</v>
      </c>
      <c r="I32" s="292">
        <f t="shared" si="0"/>
        <v>0</v>
      </c>
      <c r="J32" s="297" t="s">
        <v>131</v>
      </c>
      <c r="K32" s="282" t="s">
        <v>131</v>
      </c>
      <c r="L32" s="219" t="s">
        <v>131</v>
      </c>
      <c r="M32" s="337" t="s">
        <v>131</v>
      </c>
      <c r="N32" s="332">
        <v>0</v>
      </c>
      <c r="O32" s="337" t="s">
        <v>131</v>
      </c>
      <c r="P32" s="363" t="str">
        <f>IFERROR(INDEX(Data!$B$28:$B$46,MATCH('Rent Roll'!$N32,INDEX(Data!$B$28:$J$46,,MATCH('Rent Roll'!$O32,Data!$B$28:$J$28,0)),-1),1),"NA")</f>
        <v>NA</v>
      </c>
      <c r="Q32" s="280" t="s">
        <v>132</v>
      </c>
      <c r="R32" s="217">
        <v>0</v>
      </c>
      <c r="S32" s="77">
        <f t="shared" si="1"/>
        <v>0</v>
      </c>
      <c r="T32" s="116">
        <f t="shared" si="2"/>
        <v>0</v>
      </c>
      <c r="U32" s="217">
        <v>0</v>
      </c>
      <c r="V32" s="77">
        <f t="shared" si="3"/>
        <v>0</v>
      </c>
      <c r="W32" s="116">
        <f t="shared" si="7"/>
        <v>0</v>
      </c>
      <c r="X32" s="84">
        <f>IFERROR(IF(INDEX(AC$13:AC$17,MATCH($E32,$AB$13:$AB$17,0))&lt;&gt;0,INDEX(AC$13:AC$17,MATCH($E32,$AB$13:$AB$17,0)),
IF($N32="MKT",0,IF($L32="HUD FMR",INDEX(Data!$B$21:$G$21,MATCH($E32,Data!$B$9:$G$9,0))*$N32,INDEX(Data!$B$9:$G$22,MATCH($K32,Data!$B$9:$B$22,0),MATCH($E32,Data!$B$9:$G$9,0))))),0)</f>
        <v>0</v>
      </c>
      <c r="Y32" s="84">
        <f>IFERROR(IF(INDEX(AD$13:AD$17,MATCH($E32,$AB$13:$AB$17,0))&lt;&gt;0,INDEX(AD$13:AD$17,MATCH($E32,$AB$13:$AB$17,0)),
IF($K32="MKT",0,-INDEX(Data!$B$22:$G$22,MATCH($E32,Data!$B$9:$G$9,0)))),0)</f>
        <v>0</v>
      </c>
      <c r="Z32" s="88">
        <f t="shared" si="4"/>
        <v>0</v>
      </c>
      <c r="AA32" s="77">
        <f t="shared" si="5"/>
        <v>0</v>
      </c>
      <c r="AB32" s="116">
        <f t="shared" si="8"/>
        <v>0</v>
      </c>
      <c r="AC32" s="97">
        <f t="shared" si="9"/>
        <v>0</v>
      </c>
      <c r="AD32" s="100">
        <f t="shared" si="6"/>
        <v>0</v>
      </c>
      <c r="AE32" s="116">
        <f t="shared" si="10"/>
        <v>0</v>
      </c>
      <c r="AF32" s="371" t="str">
        <f>IFERROR(IF(AE32=0,"NA",
IF(G32="N",IF(OR(J32="PBV",J32="HCV",(AC32-Y32)&lt;=(INDEX(Data!$C$29:$J$46,MATCH('Rent Roll'!$K32,Data!$B$29:$B$46,0),MATCH($M32,Data!$C$28:$J$28,0))/12*0.3)),"Y","N"),
IF(OR(J32="PBV",J32="HCV",AND((AC32/R32-1)&lt;=0.05,(AC32-Y32)&lt;=(N32/12*0.3))),"Y","N"))),"NA")</f>
        <v>NA</v>
      </c>
    </row>
    <row r="33" spans="2:32" x14ac:dyDescent="0.3">
      <c r="B33" s="271">
        <v>10</v>
      </c>
      <c r="C33" s="268" t="s">
        <v>130</v>
      </c>
      <c r="D33" s="212"/>
      <c r="E33" s="213" t="s">
        <v>131</v>
      </c>
      <c r="F33" s="214">
        <v>0</v>
      </c>
      <c r="G33" s="280" t="s">
        <v>132</v>
      </c>
      <c r="H33" s="287">
        <v>0</v>
      </c>
      <c r="I33" s="292">
        <f t="shared" si="0"/>
        <v>0</v>
      </c>
      <c r="J33" s="297" t="s">
        <v>131</v>
      </c>
      <c r="K33" s="282" t="s">
        <v>131</v>
      </c>
      <c r="L33" s="219" t="s">
        <v>131</v>
      </c>
      <c r="M33" s="337" t="s">
        <v>131</v>
      </c>
      <c r="N33" s="332">
        <v>0</v>
      </c>
      <c r="O33" s="337" t="s">
        <v>131</v>
      </c>
      <c r="P33" s="363" t="str">
        <f>IFERROR(INDEX(Data!$B$28:$B$46,MATCH('Rent Roll'!$N33,INDEX(Data!$B$28:$J$46,,MATCH('Rent Roll'!$O33,Data!$B$28:$J$28,0)),-1),1),"NA")</f>
        <v>NA</v>
      </c>
      <c r="Q33" s="280" t="s">
        <v>132</v>
      </c>
      <c r="R33" s="217">
        <v>0</v>
      </c>
      <c r="S33" s="77">
        <f t="shared" si="1"/>
        <v>0</v>
      </c>
      <c r="T33" s="116">
        <f t="shared" si="2"/>
        <v>0</v>
      </c>
      <c r="U33" s="217">
        <v>0</v>
      </c>
      <c r="V33" s="77">
        <f t="shared" si="3"/>
        <v>0</v>
      </c>
      <c r="W33" s="116">
        <f t="shared" si="7"/>
        <v>0</v>
      </c>
      <c r="X33" s="84">
        <f>IFERROR(IF(INDEX(AC$13:AC$17,MATCH($E33,$AB$13:$AB$17,0))&lt;&gt;0,INDEX(AC$13:AC$17,MATCH($E33,$AB$13:$AB$17,0)),
IF($N33="MKT",0,IF($L33="HUD FMR",INDEX(Data!$B$21:$G$21,MATCH($E33,Data!$B$9:$G$9,0))*$N33,INDEX(Data!$B$9:$G$22,MATCH($K33,Data!$B$9:$B$22,0),MATCH($E33,Data!$B$9:$G$9,0))))),0)</f>
        <v>0</v>
      </c>
      <c r="Y33" s="84">
        <f>IFERROR(IF(INDEX(AD$13:AD$17,MATCH($E33,$AB$13:$AB$17,0))&lt;&gt;0,INDEX(AD$13:AD$17,MATCH($E33,$AB$13:$AB$17,0)),
IF($K33="MKT",0,-INDEX(Data!$B$22:$G$22,MATCH($E33,Data!$B$9:$G$9,0)))),0)</f>
        <v>0</v>
      </c>
      <c r="Z33" s="88">
        <f t="shared" si="4"/>
        <v>0</v>
      </c>
      <c r="AA33" s="77">
        <f t="shared" si="5"/>
        <v>0</v>
      </c>
      <c r="AB33" s="116">
        <f t="shared" si="8"/>
        <v>0</v>
      </c>
      <c r="AC33" s="97">
        <f t="shared" si="9"/>
        <v>0</v>
      </c>
      <c r="AD33" s="100">
        <f t="shared" si="6"/>
        <v>0</v>
      </c>
      <c r="AE33" s="116">
        <f t="shared" si="10"/>
        <v>0</v>
      </c>
      <c r="AF33" s="371" t="str">
        <f>IFERROR(IF(AE33=0,"NA",
IF(G33="N",IF(OR(J33="PBV",J33="HCV",(AC33-Y33)&lt;=(INDEX(Data!$C$29:$J$46,MATCH('Rent Roll'!$K33,Data!$B$29:$B$46,0),MATCH($M33,Data!$C$28:$J$28,0))/12*0.3)),"Y","N"),
IF(OR(J33="PBV",J33="HCV",AND((AC33/R33-1)&lt;=0.05,(AC33-Y33)&lt;=(N33/12*0.3))),"Y","N"))),"NA")</f>
        <v>NA</v>
      </c>
    </row>
    <row r="34" spans="2:32" x14ac:dyDescent="0.3">
      <c r="B34" s="271">
        <v>11</v>
      </c>
      <c r="C34" s="268" t="s">
        <v>130</v>
      </c>
      <c r="D34" s="212"/>
      <c r="E34" s="213" t="s">
        <v>131</v>
      </c>
      <c r="F34" s="214">
        <v>0</v>
      </c>
      <c r="G34" s="280" t="s">
        <v>132</v>
      </c>
      <c r="H34" s="287">
        <v>0</v>
      </c>
      <c r="I34" s="292">
        <f t="shared" si="0"/>
        <v>0</v>
      </c>
      <c r="J34" s="297" t="s">
        <v>131</v>
      </c>
      <c r="K34" s="282" t="s">
        <v>131</v>
      </c>
      <c r="L34" s="219" t="s">
        <v>131</v>
      </c>
      <c r="M34" s="337" t="s">
        <v>131</v>
      </c>
      <c r="N34" s="332">
        <v>0</v>
      </c>
      <c r="O34" s="337" t="s">
        <v>131</v>
      </c>
      <c r="P34" s="363" t="str">
        <f>IFERROR(INDEX(Data!$B$28:$B$46,MATCH('Rent Roll'!$N34,INDEX(Data!$B$28:$J$46,,MATCH('Rent Roll'!$O34,Data!$B$28:$J$28,0)),-1),1),"NA")</f>
        <v>NA</v>
      </c>
      <c r="Q34" s="280" t="s">
        <v>132</v>
      </c>
      <c r="R34" s="217">
        <v>0</v>
      </c>
      <c r="S34" s="77">
        <f t="shared" si="1"/>
        <v>0</v>
      </c>
      <c r="T34" s="116">
        <f t="shared" si="2"/>
        <v>0</v>
      </c>
      <c r="U34" s="217">
        <v>0</v>
      </c>
      <c r="V34" s="77">
        <f t="shared" si="3"/>
        <v>0</v>
      </c>
      <c r="W34" s="116">
        <f t="shared" si="7"/>
        <v>0</v>
      </c>
      <c r="X34" s="84">
        <f>IFERROR(IF(INDEX(AC$13:AC$17,MATCH($E34,$AB$13:$AB$17,0))&lt;&gt;0,INDEX(AC$13:AC$17,MATCH($E34,$AB$13:$AB$17,0)),
IF($N34="MKT",0,IF($L34="HUD FMR",INDEX(Data!$B$21:$G$21,MATCH($E34,Data!$B$9:$G$9,0))*$N34,INDEX(Data!$B$9:$G$22,MATCH($K34,Data!$B$9:$B$22,0),MATCH($E34,Data!$B$9:$G$9,0))))),0)</f>
        <v>0</v>
      </c>
      <c r="Y34" s="84">
        <f>IFERROR(IF(INDEX(AD$13:AD$17,MATCH($E34,$AB$13:$AB$17,0))&lt;&gt;0,INDEX(AD$13:AD$17,MATCH($E34,$AB$13:$AB$17,0)),
IF($K34="MKT",0,-INDEX(Data!$B$22:$G$22,MATCH($E34,Data!$B$9:$G$9,0)))),0)</f>
        <v>0</v>
      </c>
      <c r="Z34" s="88">
        <f t="shared" si="4"/>
        <v>0</v>
      </c>
      <c r="AA34" s="77">
        <f t="shared" si="5"/>
        <v>0</v>
      </c>
      <c r="AB34" s="116">
        <f t="shared" si="8"/>
        <v>0</v>
      </c>
      <c r="AC34" s="97">
        <f t="shared" si="9"/>
        <v>0</v>
      </c>
      <c r="AD34" s="100">
        <f t="shared" si="6"/>
        <v>0</v>
      </c>
      <c r="AE34" s="116">
        <f t="shared" si="10"/>
        <v>0</v>
      </c>
      <c r="AF34" s="371" t="str">
        <f>IFERROR(IF(AE34=0,"NA",
IF(G34="N",IF(OR(J34="PBV",J34="HCV",(AC34-Y34)&lt;=(INDEX(Data!$C$29:$J$46,MATCH('Rent Roll'!$K34,Data!$B$29:$B$46,0),MATCH($M34,Data!$C$28:$J$28,0))/12*0.3)),"Y","N"),
IF(OR(J34="PBV",J34="HCV",AND((AC34/R34-1)&lt;=0.05,(AC34-Y34)&lt;=(N34/12*0.3))),"Y","N"))),"NA")</f>
        <v>NA</v>
      </c>
    </row>
    <row r="35" spans="2:32" x14ac:dyDescent="0.3">
      <c r="B35" s="271">
        <v>12</v>
      </c>
      <c r="C35" s="268" t="s">
        <v>130</v>
      </c>
      <c r="D35" s="212"/>
      <c r="E35" s="213" t="s">
        <v>131</v>
      </c>
      <c r="F35" s="214">
        <v>0</v>
      </c>
      <c r="G35" s="280" t="s">
        <v>132</v>
      </c>
      <c r="H35" s="287">
        <v>0</v>
      </c>
      <c r="I35" s="292">
        <f t="shared" si="0"/>
        <v>0</v>
      </c>
      <c r="J35" s="297" t="s">
        <v>131</v>
      </c>
      <c r="K35" s="282" t="s">
        <v>131</v>
      </c>
      <c r="L35" s="219" t="s">
        <v>131</v>
      </c>
      <c r="M35" s="337" t="s">
        <v>131</v>
      </c>
      <c r="N35" s="332">
        <v>0</v>
      </c>
      <c r="O35" s="337" t="s">
        <v>131</v>
      </c>
      <c r="P35" s="363" t="str">
        <f>IFERROR(INDEX(Data!$B$28:$B$46,MATCH('Rent Roll'!$N35,INDEX(Data!$B$28:$J$46,,MATCH('Rent Roll'!$O35,Data!$B$28:$J$28,0)),-1),1),"NA")</f>
        <v>NA</v>
      </c>
      <c r="Q35" s="280" t="s">
        <v>132</v>
      </c>
      <c r="R35" s="217">
        <v>0</v>
      </c>
      <c r="S35" s="77">
        <f t="shared" si="1"/>
        <v>0</v>
      </c>
      <c r="T35" s="116">
        <f t="shared" si="2"/>
        <v>0</v>
      </c>
      <c r="U35" s="217">
        <v>0</v>
      </c>
      <c r="V35" s="77">
        <f t="shared" si="3"/>
        <v>0</v>
      </c>
      <c r="W35" s="116">
        <f t="shared" si="7"/>
        <v>0</v>
      </c>
      <c r="X35" s="84">
        <f>IFERROR(IF(INDEX(AC$13:AC$17,MATCH($E35,$AB$13:$AB$17,0))&lt;&gt;0,INDEX(AC$13:AC$17,MATCH($E35,$AB$13:$AB$17,0)),
IF($N35="MKT",0,IF($L35="HUD FMR",INDEX(Data!$B$21:$G$21,MATCH($E35,Data!$B$9:$G$9,0))*$N35,INDEX(Data!$B$9:$G$22,MATCH($K35,Data!$B$9:$B$22,0),MATCH($E35,Data!$B$9:$G$9,0))))),0)</f>
        <v>0</v>
      </c>
      <c r="Y35" s="84">
        <f>IFERROR(IF(INDEX(AD$13:AD$17,MATCH($E35,$AB$13:$AB$17,0))&lt;&gt;0,INDEX(AD$13:AD$17,MATCH($E35,$AB$13:$AB$17,0)),
IF($K35="MKT",0,-INDEX(Data!$B$22:$G$22,MATCH($E35,Data!$B$9:$G$9,0)))),0)</f>
        <v>0</v>
      </c>
      <c r="Z35" s="88">
        <f t="shared" si="4"/>
        <v>0</v>
      </c>
      <c r="AA35" s="77">
        <f t="shared" si="5"/>
        <v>0</v>
      </c>
      <c r="AB35" s="116">
        <f t="shared" si="8"/>
        <v>0</v>
      </c>
      <c r="AC35" s="97">
        <f t="shared" si="9"/>
        <v>0</v>
      </c>
      <c r="AD35" s="100">
        <f t="shared" si="6"/>
        <v>0</v>
      </c>
      <c r="AE35" s="116">
        <f t="shared" si="10"/>
        <v>0</v>
      </c>
      <c r="AF35" s="371" t="str">
        <f>IFERROR(IF(AE35=0,"NA",
IF(G35="N",IF(OR(J35="PBV",J35="HCV",(AC35-Y35)&lt;=(INDEX(Data!$C$29:$J$46,MATCH('Rent Roll'!$K35,Data!$B$29:$B$46,0),MATCH($M35,Data!$C$28:$J$28,0))/12*0.3)),"Y","N"),
IF(OR(J35="PBV",J35="HCV",AND((AC35/R35-1)&lt;=0.05,(AC35-Y35)&lt;=(N35/12*0.3))),"Y","N"))),"NA")</f>
        <v>NA</v>
      </c>
    </row>
    <row r="36" spans="2:32" x14ac:dyDescent="0.3">
      <c r="B36" s="271">
        <v>13</v>
      </c>
      <c r="C36" s="268" t="s">
        <v>130</v>
      </c>
      <c r="D36" s="212"/>
      <c r="E36" s="213" t="s">
        <v>131</v>
      </c>
      <c r="F36" s="214">
        <v>0</v>
      </c>
      <c r="G36" s="280" t="s">
        <v>132</v>
      </c>
      <c r="H36" s="287">
        <v>0</v>
      </c>
      <c r="I36" s="292">
        <f t="shared" si="0"/>
        <v>0</v>
      </c>
      <c r="J36" s="297" t="s">
        <v>131</v>
      </c>
      <c r="K36" s="282" t="s">
        <v>131</v>
      </c>
      <c r="L36" s="219" t="s">
        <v>131</v>
      </c>
      <c r="M36" s="337" t="s">
        <v>131</v>
      </c>
      <c r="N36" s="332">
        <v>0</v>
      </c>
      <c r="O36" s="337" t="s">
        <v>131</v>
      </c>
      <c r="P36" s="363" t="str">
        <f>IFERROR(INDEX(Data!$B$28:$B$46,MATCH('Rent Roll'!$N36,INDEX(Data!$B$28:$J$46,,MATCH('Rent Roll'!$O36,Data!$B$28:$J$28,0)),-1),1),"NA")</f>
        <v>NA</v>
      </c>
      <c r="Q36" s="280" t="s">
        <v>132</v>
      </c>
      <c r="R36" s="217">
        <v>0</v>
      </c>
      <c r="S36" s="77">
        <f t="shared" si="1"/>
        <v>0</v>
      </c>
      <c r="T36" s="116">
        <f t="shared" si="2"/>
        <v>0</v>
      </c>
      <c r="U36" s="217">
        <v>0</v>
      </c>
      <c r="V36" s="77">
        <f t="shared" si="3"/>
        <v>0</v>
      </c>
      <c r="W36" s="116">
        <f t="shared" si="7"/>
        <v>0</v>
      </c>
      <c r="X36" s="84">
        <f>IFERROR(IF(INDEX(AC$13:AC$17,MATCH($E36,$AB$13:$AB$17,0))&lt;&gt;0,INDEX(AC$13:AC$17,MATCH($E36,$AB$13:$AB$17,0)),
IF($N36="MKT",0,IF($L36="HUD FMR",INDEX(Data!$B$21:$G$21,MATCH($E36,Data!$B$9:$G$9,0))*$N36,INDEX(Data!$B$9:$G$22,MATCH($K36,Data!$B$9:$B$22,0),MATCH($E36,Data!$B$9:$G$9,0))))),0)</f>
        <v>0</v>
      </c>
      <c r="Y36" s="84">
        <f>IFERROR(IF(INDEX(AD$13:AD$17,MATCH($E36,$AB$13:$AB$17,0))&lt;&gt;0,INDEX(AD$13:AD$17,MATCH($E36,$AB$13:$AB$17,0)),
IF($K36="MKT",0,-INDEX(Data!$B$22:$G$22,MATCH($E36,Data!$B$9:$G$9,0)))),0)</f>
        <v>0</v>
      </c>
      <c r="Z36" s="88">
        <f t="shared" si="4"/>
        <v>0</v>
      </c>
      <c r="AA36" s="77">
        <f t="shared" si="5"/>
        <v>0</v>
      </c>
      <c r="AB36" s="116">
        <f t="shared" si="8"/>
        <v>0</v>
      </c>
      <c r="AC36" s="97">
        <f t="shared" si="9"/>
        <v>0</v>
      </c>
      <c r="AD36" s="100">
        <f t="shared" si="6"/>
        <v>0</v>
      </c>
      <c r="AE36" s="116">
        <f t="shared" si="10"/>
        <v>0</v>
      </c>
      <c r="AF36" s="371" t="str">
        <f>IFERROR(IF(AE36=0,"NA",
IF(G36="N",IF(OR(J36="PBV",J36="HCV",(AC36-Y36)&lt;=(INDEX(Data!$C$29:$J$46,MATCH('Rent Roll'!$K36,Data!$B$29:$B$46,0),MATCH($M36,Data!$C$28:$J$28,0))/12*0.3)),"Y","N"),
IF(OR(J36="PBV",J36="HCV",AND((AC36/R36-1)&lt;=0.05,(AC36-Y36)&lt;=(N36/12*0.3))),"Y","N"))),"NA")</f>
        <v>NA</v>
      </c>
    </row>
    <row r="37" spans="2:32" x14ac:dyDescent="0.3">
      <c r="B37" s="271">
        <v>14</v>
      </c>
      <c r="C37" s="268" t="s">
        <v>130</v>
      </c>
      <c r="D37" s="212"/>
      <c r="E37" s="213" t="s">
        <v>131</v>
      </c>
      <c r="F37" s="214">
        <v>0</v>
      </c>
      <c r="G37" s="280" t="s">
        <v>132</v>
      </c>
      <c r="H37" s="287">
        <v>0</v>
      </c>
      <c r="I37" s="292">
        <f t="shared" si="0"/>
        <v>0</v>
      </c>
      <c r="J37" s="297" t="s">
        <v>131</v>
      </c>
      <c r="K37" s="282" t="s">
        <v>131</v>
      </c>
      <c r="L37" s="219" t="s">
        <v>131</v>
      </c>
      <c r="M37" s="337" t="s">
        <v>131</v>
      </c>
      <c r="N37" s="332">
        <v>0</v>
      </c>
      <c r="O37" s="337" t="s">
        <v>131</v>
      </c>
      <c r="P37" s="363" t="str">
        <f>IFERROR(INDEX(Data!$B$28:$B$46,MATCH('Rent Roll'!$N37,INDEX(Data!$B$28:$J$46,,MATCH('Rent Roll'!$O37,Data!$B$28:$J$28,0)),-1),1),"NA")</f>
        <v>NA</v>
      </c>
      <c r="Q37" s="280" t="s">
        <v>132</v>
      </c>
      <c r="R37" s="217">
        <v>0</v>
      </c>
      <c r="S37" s="77">
        <f t="shared" si="1"/>
        <v>0</v>
      </c>
      <c r="T37" s="116">
        <f t="shared" si="2"/>
        <v>0</v>
      </c>
      <c r="U37" s="217">
        <v>0</v>
      </c>
      <c r="V37" s="77">
        <f t="shared" si="3"/>
        <v>0</v>
      </c>
      <c r="W37" s="116">
        <f t="shared" si="7"/>
        <v>0</v>
      </c>
      <c r="X37" s="84">
        <f>IFERROR(IF(INDEX(AC$13:AC$17,MATCH($E37,$AB$13:$AB$17,0))&lt;&gt;0,INDEX(AC$13:AC$17,MATCH($E37,$AB$13:$AB$17,0)),
IF($N37="MKT",0,IF($L37="HUD FMR",INDEX(Data!$B$21:$G$21,MATCH($E37,Data!$B$9:$G$9,0))*$N37,INDEX(Data!$B$9:$G$22,MATCH($K37,Data!$B$9:$B$22,0),MATCH($E37,Data!$B$9:$G$9,0))))),0)</f>
        <v>0</v>
      </c>
      <c r="Y37" s="84">
        <f>IFERROR(IF(INDEX(AD$13:AD$17,MATCH($E37,$AB$13:$AB$17,0))&lt;&gt;0,INDEX(AD$13:AD$17,MATCH($E37,$AB$13:$AB$17,0)),
IF($K37="MKT",0,-INDEX(Data!$B$22:$G$22,MATCH($E37,Data!$B$9:$G$9,0)))),0)</f>
        <v>0</v>
      </c>
      <c r="Z37" s="88">
        <f t="shared" si="4"/>
        <v>0</v>
      </c>
      <c r="AA37" s="77">
        <f t="shared" si="5"/>
        <v>0</v>
      </c>
      <c r="AB37" s="116">
        <f t="shared" si="8"/>
        <v>0</v>
      </c>
      <c r="AC37" s="97">
        <f t="shared" si="9"/>
        <v>0</v>
      </c>
      <c r="AD37" s="100">
        <f t="shared" si="6"/>
        <v>0</v>
      </c>
      <c r="AE37" s="116">
        <f t="shared" si="10"/>
        <v>0</v>
      </c>
      <c r="AF37" s="371" t="str">
        <f>IFERROR(IF(AE37=0,"NA",
IF(G37="N",IF(OR(J37="PBV",J37="HCV",(AC37-Y37)&lt;=(INDEX(Data!$C$29:$J$46,MATCH('Rent Roll'!$K37,Data!$B$29:$B$46,0),MATCH($M37,Data!$C$28:$J$28,0))/12*0.3)),"Y","N"),
IF(OR(J37="PBV",J37="HCV",AND((AC37/R37-1)&lt;=0.05,(AC37-Y37)&lt;=(N37/12*0.3))),"Y","N"))),"NA")</f>
        <v>NA</v>
      </c>
    </row>
    <row r="38" spans="2:32" x14ac:dyDescent="0.3">
      <c r="B38" s="271">
        <v>15</v>
      </c>
      <c r="C38" s="268" t="s">
        <v>130</v>
      </c>
      <c r="D38" s="212"/>
      <c r="E38" s="213" t="s">
        <v>131</v>
      </c>
      <c r="F38" s="214">
        <v>0</v>
      </c>
      <c r="G38" s="280" t="s">
        <v>132</v>
      </c>
      <c r="H38" s="287">
        <v>0</v>
      </c>
      <c r="I38" s="292">
        <f t="shared" si="0"/>
        <v>0</v>
      </c>
      <c r="J38" s="297" t="s">
        <v>131</v>
      </c>
      <c r="K38" s="282" t="s">
        <v>131</v>
      </c>
      <c r="L38" s="219" t="s">
        <v>131</v>
      </c>
      <c r="M38" s="337" t="s">
        <v>131</v>
      </c>
      <c r="N38" s="332">
        <v>0</v>
      </c>
      <c r="O38" s="337" t="s">
        <v>131</v>
      </c>
      <c r="P38" s="363" t="str">
        <f>IFERROR(INDEX(Data!$B$28:$B$46,MATCH('Rent Roll'!$N38,INDEX(Data!$B$28:$J$46,,MATCH('Rent Roll'!$O38,Data!$B$28:$J$28,0)),-1),1),"NA")</f>
        <v>NA</v>
      </c>
      <c r="Q38" s="280" t="s">
        <v>132</v>
      </c>
      <c r="R38" s="217">
        <v>0</v>
      </c>
      <c r="S38" s="77">
        <f t="shared" si="1"/>
        <v>0</v>
      </c>
      <c r="T38" s="116">
        <f t="shared" si="2"/>
        <v>0</v>
      </c>
      <c r="U38" s="217">
        <v>0</v>
      </c>
      <c r="V38" s="77">
        <f t="shared" si="3"/>
        <v>0</v>
      </c>
      <c r="W38" s="116">
        <f t="shared" si="7"/>
        <v>0</v>
      </c>
      <c r="X38" s="84">
        <f>IFERROR(IF(INDEX(AC$13:AC$17,MATCH($E38,$AB$13:$AB$17,0))&lt;&gt;0,INDEX(AC$13:AC$17,MATCH($E38,$AB$13:$AB$17,0)),
IF($N38="MKT",0,IF($L38="HUD FMR",INDEX(Data!$B$21:$G$21,MATCH($E38,Data!$B$9:$G$9,0))*$N38,INDEX(Data!$B$9:$G$22,MATCH($K38,Data!$B$9:$B$22,0),MATCH($E38,Data!$B$9:$G$9,0))))),0)</f>
        <v>0</v>
      </c>
      <c r="Y38" s="84">
        <f>IFERROR(IF(INDEX(AD$13:AD$17,MATCH($E38,$AB$13:$AB$17,0))&lt;&gt;0,INDEX(AD$13:AD$17,MATCH($E38,$AB$13:$AB$17,0)),
IF($K38="MKT",0,-INDEX(Data!$B$22:$G$22,MATCH($E38,Data!$B$9:$G$9,0)))),0)</f>
        <v>0</v>
      </c>
      <c r="Z38" s="88">
        <f t="shared" si="4"/>
        <v>0</v>
      </c>
      <c r="AA38" s="77">
        <f t="shared" si="5"/>
        <v>0</v>
      </c>
      <c r="AB38" s="116">
        <f t="shared" si="8"/>
        <v>0</v>
      </c>
      <c r="AC38" s="97">
        <f t="shared" si="9"/>
        <v>0</v>
      </c>
      <c r="AD38" s="100">
        <f t="shared" si="6"/>
        <v>0</v>
      </c>
      <c r="AE38" s="116">
        <f t="shared" si="10"/>
        <v>0</v>
      </c>
      <c r="AF38" s="371" t="str">
        <f>IFERROR(IF(AE38=0,"NA",
IF(G38="N",IF(OR(J38="PBV",J38="HCV",(AC38-Y38)&lt;=(INDEX(Data!$C$29:$J$46,MATCH('Rent Roll'!$K38,Data!$B$29:$B$46,0),MATCH($M38,Data!$C$28:$J$28,0))/12*0.3)),"Y","N"),
IF(OR(J38="PBV",J38="HCV",AND((AC38/R38-1)&lt;=0.05,(AC38-Y38)&lt;=(N38/12*0.3))),"Y","N"))),"NA")</f>
        <v>NA</v>
      </c>
    </row>
    <row r="39" spans="2:32" x14ac:dyDescent="0.3">
      <c r="B39" s="271">
        <v>16</v>
      </c>
      <c r="C39" s="268" t="s">
        <v>130</v>
      </c>
      <c r="D39" s="212"/>
      <c r="E39" s="213" t="s">
        <v>131</v>
      </c>
      <c r="F39" s="214">
        <v>0</v>
      </c>
      <c r="G39" s="280" t="s">
        <v>132</v>
      </c>
      <c r="H39" s="287">
        <v>0</v>
      </c>
      <c r="I39" s="292">
        <f t="shared" si="0"/>
        <v>0</v>
      </c>
      <c r="J39" s="297" t="s">
        <v>131</v>
      </c>
      <c r="K39" s="282" t="s">
        <v>131</v>
      </c>
      <c r="L39" s="219" t="s">
        <v>131</v>
      </c>
      <c r="M39" s="337" t="s">
        <v>131</v>
      </c>
      <c r="N39" s="332">
        <v>0</v>
      </c>
      <c r="O39" s="337" t="s">
        <v>131</v>
      </c>
      <c r="P39" s="363" t="str">
        <f>IFERROR(INDEX(Data!$B$28:$B$46,MATCH('Rent Roll'!$N39,INDEX(Data!$B$28:$J$46,,MATCH('Rent Roll'!$O39,Data!$B$28:$J$28,0)),-1),1),"NA")</f>
        <v>NA</v>
      </c>
      <c r="Q39" s="280" t="s">
        <v>132</v>
      </c>
      <c r="R39" s="217">
        <v>0</v>
      </c>
      <c r="S39" s="77">
        <f t="shared" si="1"/>
        <v>0</v>
      </c>
      <c r="T39" s="116">
        <f t="shared" si="2"/>
        <v>0</v>
      </c>
      <c r="U39" s="217">
        <v>0</v>
      </c>
      <c r="V39" s="77">
        <f t="shared" si="3"/>
        <v>0</v>
      </c>
      <c r="W39" s="116">
        <f t="shared" si="7"/>
        <v>0</v>
      </c>
      <c r="X39" s="84">
        <f>IFERROR(IF(INDEX(AC$13:AC$17,MATCH($E39,$AB$13:$AB$17,0))&lt;&gt;0,INDEX(AC$13:AC$17,MATCH($E39,$AB$13:$AB$17,0)),
IF($N39="MKT",0,IF($L39="HUD FMR",INDEX(Data!$B$21:$G$21,MATCH($E39,Data!$B$9:$G$9,0))*$N39,INDEX(Data!$B$9:$G$22,MATCH($K39,Data!$B$9:$B$22,0),MATCH($E39,Data!$B$9:$G$9,0))))),0)</f>
        <v>0</v>
      </c>
      <c r="Y39" s="84">
        <f>IFERROR(IF(INDEX(AD$13:AD$17,MATCH($E39,$AB$13:$AB$17,0))&lt;&gt;0,INDEX(AD$13:AD$17,MATCH($E39,$AB$13:$AB$17,0)),
IF($K39="MKT",0,-INDEX(Data!$B$22:$G$22,MATCH($E39,Data!$B$9:$G$9,0)))),0)</f>
        <v>0</v>
      </c>
      <c r="Z39" s="88">
        <f t="shared" si="4"/>
        <v>0</v>
      </c>
      <c r="AA39" s="77">
        <f t="shared" si="5"/>
        <v>0</v>
      </c>
      <c r="AB39" s="116">
        <f t="shared" si="8"/>
        <v>0</v>
      </c>
      <c r="AC39" s="97">
        <f t="shared" si="9"/>
        <v>0</v>
      </c>
      <c r="AD39" s="100">
        <f t="shared" si="6"/>
        <v>0</v>
      </c>
      <c r="AE39" s="116">
        <f t="shared" si="10"/>
        <v>0</v>
      </c>
      <c r="AF39" s="371" t="str">
        <f>IFERROR(IF(AE39=0,"NA",
IF(G39="N",IF(OR(J39="PBV",J39="HCV",(AC39-Y39)&lt;=(INDEX(Data!$C$29:$J$46,MATCH('Rent Roll'!$K39,Data!$B$29:$B$46,0),MATCH($M39,Data!$C$28:$J$28,0))/12*0.3)),"Y","N"),
IF(OR(J39="PBV",J39="HCV",AND((AC39/R39-1)&lt;=0.05,(AC39-Y39)&lt;=(N39/12*0.3))),"Y","N"))),"NA")</f>
        <v>NA</v>
      </c>
    </row>
    <row r="40" spans="2:32" x14ac:dyDescent="0.3">
      <c r="B40" s="271">
        <v>17</v>
      </c>
      <c r="C40" s="268" t="s">
        <v>130</v>
      </c>
      <c r="D40" s="212"/>
      <c r="E40" s="213" t="s">
        <v>131</v>
      </c>
      <c r="F40" s="214">
        <v>0</v>
      </c>
      <c r="G40" s="280" t="s">
        <v>132</v>
      </c>
      <c r="H40" s="287">
        <v>0</v>
      </c>
      <c r="I40" s="292">
        <f t="shared" si="0"/>
        <v>0</v>
      </c>
      <c r="J40" s="297" t="s">
        <v>131</v>
      </c>
      <c r="K40" s="282" t="s">
        <v>131</v>
      </c>
      <c r="L40" s="219" t="s">
        <v>131</v>
      </c>
      <c r="M40" s="337" t="s">
        <v>131</v>
      </c>
      <c r="N40" s="332">
        <v>0</v>
      </c>
      <c r="O40" s="337" t="s">
        <v>131</v>
      </c>
      <c r="P40" s="363" t="str">
        <f>IFERROR(INDEX(Data!$B$28:$B$46,MATCH('Rent Roll'!$N40,INDEX(Data!$B$28:$J$46,,MATCH('Rent Roll'!$O40,Data!$B$28:$J$28,0)),-1),1),"NA")</f>
        <v>NA</v>
      </c>
      <c r="Q40" s="280" t="s">
        <v>132</v>
      </c>
      <c r="R40" s="217">
        <v>0</v>
      </c>
      <c r="S40" s="77">
        <f t="shared" si="1"/>
        <v>0</v>
      </c>
      <c r="T40" s="116">
        <f t="shared" si="2"/>
        <v>0</v>
      </c>
      <c r="U40" s="217">
        <v>0</v>
      </c>
      <c r="V40" s="77">
        <f t="shared" si="3"/>
        <v>0</v>
      </c>
      <c r="W40" s="116">
        <f t="shared" si="7"/>
        <v>0</v>
      </c>
      <c r="X40" s="84">
        <f>IFERROR(IF(INDEX(AC$13:AC$17,MATCH($E40,$AB$13:$AB$17,0))&lt;&gt;0,INDEX(AC$13:AC$17,MATCH($E40,$AB$13:$AB$17,0)),
IF($N40="MKT",0,IF($L40="HUD FMR",INDEX(Data!$B$21:$G$21,MATCH($E40,Data!$B$9:$G$9,0))*$N40,INDEX(Data!$B$9:$G$22,MATCH($K40,Data!$B$9:$B$22,0),MATCH($E40,Data!$B$9:$G$9,0))))),0)</f>
        <v>0</v>
      </c>
      <c r="Y40" s="84">
        <f>IFERROR(IF(INDEX(AD$13:AD$17,MATCH($E40,$AB$13:$AB$17,0))&lt;&gt;0,INDEX(AD$13:AD$17,MATCH($E40,$AB$13:$AB$17,0)),
IF($K40="MKT",0,-INDEX(Data!$B$22:$G$22,MATCH($E40,Data!$B$9:$G$9,0)))),0)</f>
        <v>0</v>
      </c>
      <c r="Z40" s="88">
        <f t="shared" si="4"/>
        <v>0</v>
      </c>
      <c r="AA40" s="77">
        <f t="shared" si="5"/>
        <v>0</v>
      </c>
      <c r="AB40" s="116">
        <f t="shared" si="8"/>
        <v>0</v>
      </c>
      <c r="AC40" s="97">
        <f t="shared" si="9"/>
        <v>0</v>
      </c>
      <c r="AD40" s="100">
        <f t="shared" si="6"/>
        <v>0</v>
      </c>
      <c r="AE40" s="116">
        <f t="shared" si="10"/>
        <v>0</v>
      </c>
      <c r="AF40" s="371" t="str">
        <f>IFERROR(IF(AE40=0,"NA",
IF(G40="N",IF(OR(J40="PBV",J40="HCV",(AC40-Y40)&lt;=(INDEX(Data!$C$29:$J$46,MATCH('Rent Roll'!$K40,Data!$B$29:$B$46,0),MATCH($M40,Data!$C$28:$J$28,0))/12*0.3)),"Y","N"),
IF(OR(J40="PBV",J40="HCV",AND((AC40/R40-1)&lt;=0.05,(AC40-Y40)&lt;=(N40/12*0.3))),"Y","N"))),"NA")</f>
        <v>NA</v>
      </c>
    </row>
    <row r="41" spans="2:32" x14ac:dyDescent="0.3">
      <c r="B41" s="271">
        <v>18</v>
      </c>
      <c r="C41" s="268" t="s">
        <v>130</v>
      </c>
      <c r="D41" s="212"/>
      <c r="E41" s="213" t="s">
        <v>131</v>
      </c>
      <c r="F41" s="214">
        <v>0</v>
      </c>
      <c r="G41" s="280" t="s">
        <v>132</v>
      </c>
      <c r="H41" s="287">
        <v>0</v>
      </c>
      <c r="I41" s="292">
        <f t="shared" si="0"/>
        <v>0</v>
      </c>
      <c r="J41" s="297" t="s">
        <v>131</v>
      </c>
      <c r="K41" s="282" t="s">
        <v>131</v>
      </c>
      <c r="L41" s="219" t="s">
        <v>131</v>
      </c>
      <c r="M41" s="337" t="s">
        <v>131</v>
      </c>
      <c r="N41" s="332">
        <v>0</v>
      </c>
      <c r="O41" s="337" t="s">
        <v>131</v>
      </c>
      <c r="P41" s="363" t="str">
        <f>IFERROR(INDEX(Data!$B$28:$B$46,MATCH('Rent Roll'!$N41,INDEX(Data!$B$28:$J$46,,MATCH('Rent Roll'!$O41,Data!$B$28:$J$28,0)),-1),1),"NA")</f>
        <v>NA</v>
      </c>
      <c r="Q41" s="280" t="s">
        <v>132</v>
      </c>
      <c r="R41" s="217">
        <v>0</v>
      </c>
      <c r="S41" s="77">
        <f t="shared" si="1"/>
        <v>0</v>
      </c>
      <c r="T41" s="116">
        <f t="shared" si="2"/>
        <v>0</v>
      </c>
      <c r="U41" s="217">
        <v>0</v>
      </c>
      <c r="V41" s="77">
        <f t="shared" si="3"/>
        <v>0</v>
      </c>
      <c r="W41" s="116">
        <f t="shared" si="7"/>
        <v>0</v>
      </c>
      <c r="X41" s="84">
        <f>IFERROR(IF(INDEX(AC$13:AC$17,MATCH($E41,$AB$13:$AB$17,0))&lt;&gt;0,INDEX(AC$13:AC$17,MATCH($E41,$AB$13:$AB$17,0)),
IF($N41="MKT",0,IF($L41="HUD FMR",INDEX(Data!$B$21:$G$21,MATCH($E41,Data!$B$9:$G$9,0))*$N41,INDEX(Data!$B$9:$G$22,MATCH($K41,Data!$B$9:$B$22,0),MATCH($E41,Data!$B$9:$G$9,0))))),0)</f>
        <v>0</v>
      </c>
      <c r="Y41" s="84">
        <f>IFERROR(IF(INDEX(AD$13:AD$17,MATCH($E41,$AB$13:$AB$17,0))&lt;&gt;0,INDEX(AD$13:AD$17,MATCH($E41,$AB$13:$AB$17,0)),
IF($K41="MKT",0,-INDEX(Data!$B$22:$G$22,MATCH($E41,Data!$B$9:$G$9,0)))),0)</f>
        <v>0</v>
      </c>
      <c r="Z41" s="88">
        <f t="shared" si="4"/>
        <v>0</v>
      </c>
      <c r="AA41" s="77">
        <f t="shared" si="5"/>
        <v>0</v>
      </c>
      <c r="AB41" s="116">
        <f t="shared" si="8"/>
        <v>0</v>
      </c>
      <c r="AC41" s="97">
        <f t="shared" si="9"/>
        <v>0</v>
      </c>
      <c r="AD41" s="100">
        <f t="shared" si="6"/>
        <v>0</v>
      </c>
      <c r="AE41" s="116">
        <f t="shared" si="10"/>
        <v>0</v>
      </c>
      <c r="AF41" s="371" t="str">
        <f>IFERROR(IF(AE41=0,"NA",
IF(G41="N",IF(OR(J41="PBV",J41="HCV",(AC41-Y41)&lt;=(INDEX(Data!$C$29:$J$46,MATCH('Rent Roll'!$K41,Data!$B$29:$B$46,0),MATCH($M41,Data!$C$28:$J$28,0))/12*0.3)),"Y","N"),
IF(OR(J41="PBV",J41="HCV",AND((AC41/R41-1)&lt;=0.05,(AC41-Y41)&lt;=(N41/12*0.3))),"Y","N"))),"NA")</f>
        <v>NA</v>
      </c>
    </row>
    <row r="42" spans="2:32" x14ac:dyDescent="0.3">
      <c r="B42" s="271">
        <v>19</v>
      </c>
      <c r="C42" s="268" t="s">
        <v>130</v>
      </c>
      <c r="D42" s="212"/>
      <c r="E42" s="213" t="s">
        <v>131</v>
      </c>
      <c r="F42" s="214">
        <v>0</v>
      </c>
      <c r="G42" s="280" t="s">
        <v>132</v>
      </c>
      <c r="H42" s="287">
        <v>0</v>
      </c>
      <c r="I42" s="292">
        <f t="shared" si="0"/>
        <v>0</v>
      </c>
      <c r="J42" s="297" t="s">
        <v>131</v>
      </c>
      <c r="K42" s="282" t="s">
        <v>131</v>
      </c>
      <c r="L42" s="219" t="s">
        <v>131</v>
      </c>
      <c r="M42" s="337" t="s">
        <v>131</v>
      </c>
      <c r="N42" s="332">
        <v>0</v>
      </c>
      <c r="O42" s="337" t="s">
        <v>131</v>
      </c>
      <c r="P42" s="363" t="str">
        <f>IFERROR(INDEX(Data!$B$28:$B$46,MATCH('Rent Roll'!$N42,INDEX(Data!$B$28:$J$46,,MATCH('Rent Roll'!$O42,Data!$B$28:$J$28,0)),-1),1),"NA")</f>
        <v>NA</v>
      </c>
      <c r="Q42" s="280" t="s">
        <v>132</v>
      </c>
      <c r="R42" s="217">
        <v>0</v>
      </c>
      <c r="S42" s="77">
        <f t="shared" si="1"/>
        <v>0</v>
      </c>
      <c r="T42" s="116">
        <f t="shared" si="2"/>
        <v>0</v>
      </c>
      <c r="U42" s="217">
        <v>0</v>
      </c>
      <c r="V42" s="77">
        <f t="shared" si="3"/>
        <v>0</v>
      </c>
      <c r="W42" s="116">
        <f t="shared" si="7"/>
        <v>0</v>
      </c>
      <c r="X42" s="84">
        <f>IFERROR(IF(INDEX(AC$13:AC$17,MATCH($E42,$AB$13:$AB$17,0))&lt;&gt;0,INDEX(AC$13:AC$17,MATCH($E42,$AB$13:$AB$17,0)),
IF($N42="MKT",0,IF($L42="HUD FMR",INDEX(Data!$B$21:$G$21,MATCH($E42,Data!$B$9:$G$9,0))*$N42,INDEX(Data!$B$9:$G$22,MATCH($K42,Data!$B$9:$B$22,0),MATCH($E42,Data!$B$9:$G$9,0))))),0)</f>
        <v>0</v>
      </c>
      <c r="Y42" s="84">
        <f>IFERROR(IF(INDEX(AD$13:AD$17,MATCH($E42,$AB$13:$AB$17,0))&lt;&gt;0,INDEX(AD$13:AD$17,MATCH($E42,$AB$13:$AB$17,0)),
IF($K42="MKT",0,-INDEX(Data!$B$22:$G$22,MATCH($E42,Data!$B$9:$G$9,0)))),0)</f>
        <v>0</v>
      </c>
      <c r="Z42" s="88">
        <f t="shared" si="4"/>
        <v>0</v>
      </c>
      <c r="AA42" s="77">
        <f t="shared" si="5"/>
        <v>0</v>
      </c>
      <c r="AB42" s="116">
        <f t="shared" si="8"/>
        <v>0</v>
      </c>
      <c r="AC42" s="97">
        <f t="shared" si="9"/>
        <v>0</v>
      </c>
      <c r="AD42" s="100">
        <f t="shared" si="6"/>
        <v>0</v>
      </c>
      <c r="AE42" s="116">
        <f t="shared" si="10"/>
        <v>0</v>
      </c>
      <c r="AF42" s="371" t="str">
        <f>IFERROR(IF(AE42=0,"NA",
IF(G42="N",IF(OR(J42="PBV",J42="HCV",(AC42-Y42)&lt;=(INDEX(Data!$C$29:$J$46,MATCH('Rent Roll'!$K42,Data!$B$29:$B$46,0),MATCH($M42,Data!$C$28:$J$28,0))/12*0.3)),"Y","N"),
IF(OR(J42="PBV",J42="HCV",AND((AC42/R42-1)&lt;=0.05,(AC42-Y42)&lt;=(N42/12*0.3))),"Y","N"))),"NA")</f>
        <v>NA</v>
      </c>
    </row>
    <row r="43" spans="2:32" x14ac:dyDescent="0.3">
      <c r="B43" s="271">
        <v>20</v>
      </c>
      <c r="C43" s="268" t="s">
        <v>130</v>
      </c>
      <c r="D43" s="212"/>
      <c r="E43" s="213" t="s">
        <v>131</v>
      </c>
      <c r="F43" s="214">
        <v>0</v>
      </c>
      <c r="G43" s="280" t="s">
        <v>132</v>
      </c>
      <c r="H43" s="287">
        <v>0</v>
      </c>
      <c r="I43" s="292">
        <f t="shared" si="0"/>
        <v>0</v>
      </c>
      <c r="J43" s="297" t="s">
        <v>131</v>
      </c>
      <c r="K43" s="282" t="s">
        <v>131</v>
      </c>
      <c r="L43" s="219" t="s">
        <v>131</v>
      </c>
      <c r="M43" s="337" t="s">
        <v>131</v>
      </c>
      <c r="N43" s="332">
        <v>0</v>
      </c>
      <c r="O43" s="337" t="s">
        <v>131</v>
      </c>
      <c r="P43" s="363" t="str">
        <f>IFERROR(INDEX(Data!$B$28:$B$46,MATCH('Rent Roll'!$N43,INDEX(Data!$B$28:$J$46,,MATCH('Rent Roll'!$O43,Data!$B$28:$J$28,0)),-1),1),"NA")</f>
        <v>NA</v>
      </c>
      <c r="Q43" s="280" t="s">
        <v>132</v>
      </c>
      <c r="R43" s="217">
        <v>0</v>
      </c>
      <c r="S43" s="77">
        <f t="shared" si="1"/>
        <v>0</v>
      </c>
      <c r="T43" s="116">
        <f t="shared" si="2"/>
        <v>0</v>
      </c>
      <c r="U43" s="217">
        <v>0</v>
      </c>
      <c r="V43" s="77">
        <f t="shared" si="3"/>
        <v>0</v>
      </c>
      <c r="W43" s="116">
        <f t="shared" si="7"/>
        <v>0</v>
      </c>
      <c r="X43" s="84">
        <f>IFERROR(IF(INDEX(AC$13:AC$17,MATCH($E43,$AB$13:$AB$17,0))&lt;&gt;0,INDEX(AC$13:AC$17,MATCH($E43,$AB$13:$AB$17,0)),
IF($N43="MKT",0,IF($L43="HUD FMR",INDEX(Data!$B$21:$G$21,MATCH($E43,Data!$B$9:$G$9,0))*$N43,INDEX(Data!$B$9:$G$22,MATCH($K43,Data!$B$9:$B$22,0),MATCH($E43,Data!$B$9:$G$9,0))))),0)</f>
        <v>0</v>
      </c>
      <c r="Y43" s="84">
        <f>IFERROR(IF(INDEX(AD$13:AD$17,MATCH($E43,$AB$13:$AB$17,0))&lt;&gt;0,INDEX(AD$13:AD$17,MATCH($E43,$AB$13:$AB$17,0)),
IF($K43="MKT",0,-INDEX(Data!$B$22:$G$22,MATCH($E43,Data!$B$9:$G$9,0)))),0)</f>
        <v>0</v>
      </c>
      <c r="Z43" s="88">
        <f t="shared" si="4"/>
        <v>0</v>
      </c>
      <c r="AA43" s="77">
        <f t="shared" si="5"/>
        <v>0</v>
      </c>
      <c r="AB43" s="116">
        <f t="shared" si="8"/>
        <v>0</v>
      </c>
      <c r="AC43" s="97">
        <f t="shared" si="9"/>
        <v>0</v>
      </c>
      <c r="AD43" s="100">
        <f t="shared" si="6"/>
        <v>0</v>
      </c>
      <c r="AE43" s="116">
        <f t="shared" si="10"/>
        <v>0</v>
      </c>
      <c r="AF43" s="371" t="str">
        <f>IFERROR(IF(AE43=0,"NA",
IF(G43="N",IF(OR(J43="PBV",J43="HCV",(AC43-Y43)&lt;=(INDEX(Data!$C$29:$J$46,MATCH('Rent Roll'!$K43,Data!$B$29:$B$46,0),MATCH($M43,Data!$C$28:$J$28,0))/12*0.3)),"Y","N"),
IF(OR(J43="PBV",J43="HCV",AND((AC43/R43-1)&lt;=0.05,(AC43-Y43)&lt;=(N43/12*0.3))),"Y","N"))),"NA")</f>
        <v>NA</v>
      </c>
    </row>
    <row r="44" spans="2:32" x14ac:dyDescent="0.3">
      <c r="B44" s="271">
        <v>21</v>
      </c>
      <c r="C44" s="268" t="s">
        <v>130</v>
      </c>
      <c r="D44" s="212"/>
      <c r="E44" s="213" t="s">
        <v>131</v>
      </c>
      <c r="F44" s="214">
        <v>0</v>
      </c>
      <c r="G44" s="280" t="s">
        <v>132</v>
      </c>
      <c r="H44" s="287">
        <v>0</v>
      </c>
      <c r="I44" s="292">
        <f t="shared" si="0"/>
        <v>0</v>
      </c>
      <c r="J44" s="297" t="s">
        <v>131</v>
      </c>
      <c r="K44" s="282" t="s">
        <v>131</v>
      </c>
      <c r="L44" s="219" t="s">
        <v>131</v>
      </c>
      <c r="M44" s="337" t="s">
        <v>131</v>
      </c>
      <c r="N44" s="332">
        <v>0</v>
      </c>
      <c r="O44" s="337" t="s">
        <v>131</v>
      </c>
      <c r="P44" s="363" t="str">
        <f>IFERROR(INDEX(Data!$B$28:$B$46,MATCH('Rent Roll'!$N44,INDEX(Data!$B$28:$J$46,,MATCH('Rent Roll'!$O44,Data!$B$28:$J$28,0)),-1),1),"NA")</f>
        <v>NA</v>
      </c>
      <c r="Q44" s="280" t="s">
        <v>132</v>
      </c>
      <c r="R44" s="217">
        <v>0</v>
      </c>
      <c r="S44" s="77">
        <f t="shared" si="1"/>
        <v>0</v>
      </c>
      <c r="T44" s="116">
        <f t="shared" si="2"/>
        <v>0</v>
      </c>
      <c r="U44" s="217">
        <v>0</v>
      </c>
      <c r="V44" s="77">
        <f t="shared" si="3"/>
        <v>0</v>
      </c>
      <c r="W44" s="116">
        <f t="shared" si="7"/>
        <v>0</v>
      </c>
      <c r="X44" s="84">
        <f>IFERROR(IF(INDEX(AC$13:AC$17,MATCH($E44,$AB$13:$AB$17,0))&lt;&gt;0,INDEX(AC$13:AC$17,MATCH($E44,$AB$13:$AB$17,0)),
IF($N44="MKT",0,IF($L44="HUD FMR",INDEX(Data!$B$21:$G$21,MATCH($E44,Data!$B$9:$G$9,0))*$N44,INDEX(Data!$B$9:$G$22,MATCH($K44,Data!$B$9:$B$22,0),MATCH($E44,Data!$B$9:$G$9,0))))),0)</f>
        <v>0</v>
      </c>
      <c r="Y44" s="84">
        <f>IFERROR(IF(INDEX(AD$13:AD$17,MATCH($E44,$AB$13:$AB$17,0))&lt;&gt;0,INDEX(AD$13:AD$17,MATCH($E44,$AB$13:$AB$17,0)),
IF($K44="MKT",0,-INDEX(Data!$B$22:$G$22,MATCH($E44,Data!$B$9:$G$9,0)))),0)</f>
        <v>0</v>
      </c>
      <c r="Z44" s="88">
        <f t="shared" si="4"/>
        <v>0</v>
      </c>
      <c r="AA44" s="77">
        <f t="shared" si="5"/>
        <v>0</v>
      </c>
      <c r="AB44" s="116">
        <f t="shared" si="8"/>
        <v>0</v>
      </c>
      <c r="AC44" s="97">
        <f t="shared" si="9"/>
        <v>0</v>
      </c>
      <c r="AD44" s="100">
        <f t="shared" si="6"/>
        <v>0</v>
      </c>
      <c r="AE44" s="116">
        <f t="shared" si="10"/>
        <v>0</v>
      </c>
      <c r="AF44" s="371" t="str">
        <f>IFERROR(IF(AE44=0,"NA",
IF(G44="N",IF(OR(J44="PBV",J44="HCV",(AC44-Y44)&lt;=(INDEX(Data!$C$29:$J$46,MATCH('Rent Roll'!$K44,Data!$B$29:$B$46,0),MATCH($M44,Data!$C$28:$J$28,0))/12*0.3)),"Y","N"),
IF(OR(J44="PBV",J44="HCV",AND((AC44/R44-1)&lt;=0.05,(AC44-Y44)&lt;=(N44/12*0.3))),"Y","N"))),"NA")</f>
        <v>NA</v>
      </c>
    </row>
    <row r="45" spans="2:32" x14ac:dyDescent="0.3">
      <c r="B45" s="271">
        <v>22</v>
      </c>
      <c r="C45" s="268" t="s">
        <v>130</v>
      </c>
      <c r="D45" s="212"/>
      <c r="E45" s="213" t="s">
        <v>131</v>
      </c>
      <c r="F45" s="214">
        <v>0</v>
      </c>
      <c r="G45" s="280" t="s">
        <v>132</v>
      </c>
      <c r="H45" s="287">
        <v>0</v>
      </c>
      <c r="I45" s="292">
        <f t="shared" si="0"/>
        <v>0</v>
      </c>
      <c r="J45" s="297" t="s">
        <v>131</v>
      </c>
      <c r="K45" s="282" t="s">
        <v>131</v>
      </c>
      <c r="L45" s="219" t="s">
        <v>131</v>
      </c>
      <c r="M45" s="337" t="s">
        <v>131</v>
      </c>
      <c r="N45" s="332">
        <v>0</v>
      </c>
      <c r="O45" s="337" t="s">
        <v>131</v>
      </c>
      <c r="P45" s="363" t="str">
        <f>IFERROR(INDEX(Data!$B$28:$B$46,MATCH('Rent Roll'!$N45,INDEX(Data!$B$28:$J$46,,MATCH('Rent Roll'!$O45,Data!$B$28:$J$28,0)),-1),1),"NA")</f>
        <v>NA</v>
      </c>
      <c r="Q45" s="280" t="s">
        <v>132</v>
      </c>
      <c r="R45" s="217">
        <v>0</v>
      </c>
      <c r="S45" s="77">
        <f t="shared" si="1"/>
        <v>0</v>
      </c>
      <c r="T45" s="116">
        <f t="shared" si="2"/>
        <v>0</v>
      </c>
      <c r="U45" s="217">
        <v>0</v>
      </c>
      <c r="V45" s="77">
        <f t="shared" si="3"/>
        <v>0</v>
      </c>
      <c r="W45" s="116">
        <f t="shared" si="7"/>
        <v>0</v>
      </c>
      <c r="X45" s="84">
        <f>IFERROR(IF(INDEX(AC$13:AC$17,MATCH($E45,$AB$13:$AB$17,0))&lt;&gt;0,INDEX(AC$13:AC$17,MATCH($E45,$AB$13:$AB$17,0)),
IF($N45="MKT",0,IF($L45="HUD FMR",INDEX(Data!$B$21:$G$21,MATCH($E45,Data!$B$9:$G$9,0))*$N45,INDEX(Data!$B$9:$G$22,MATCH($K45,Data!$B$9:$B$22,0),MATCH($E45,Data!$B$9:$G$9,0))))),0)</f>
        <v>0</v>
      </c>
      <c r="Y45" s="84">
        <f>IFERROR(IF(INDEX(AD$13:AD$17,MATCH($E45,$AB$13:$AB$17,0))&lt;&gt;0,INDEX(AD$13:AD$17,MATCH($E45,$AB$13:$AB$17,0)),
IF($K45="MKT",0,-INDEX(Data!$B$22:$G$22,MATCH($E45,Data!$B$9:$G$9,0)))),0)</f>
        <v>0</v>
      </c>
      <c r="Z45" s="88">
        <f t="shared" si="4"/>
        <v>0</v>
      </c>
      <c r="AA45" s="77">
        <f t="shared" si="5"/>
        <v>0</v>
      </c>
      <c r="AB45" s="116">
        <f t="shared" si="8"/>
        <v>0</v>
      </c>
      <c r="AC45" s="97">
        <f t="shared" si="9"/>
        <v>0</v>
      </c>
      <c r="AD45" s="100">
        <f t="shared" si="6"/>
        <v>0</v>
      </c>
      <c r="AE45" s="116">
        <f t="shared" si="10"/>
        <v>0</v>
      </c>
      <c r="AF45" s="371" t="str">
        <f>IFERROR(IF(AE45=0,"NA",
IF(G45="N",IF(OR(J45="PBV",J45="HCV",(AC45-Y45)&lt;=(INDEX(Data!$C$29:$J$46,MATCH('Rent Roll'!$K45,Data!$B$29:$B$46,0),MATCH($M45,Data!$C$28:$J$28,0))/12*0.3)),"Y","N"),
IF(OR(J45="PBV",J45="HCV",AND((AC45/R45-1)&lt;=0.05,(AC45-Y45)&lt;=(N45/12*0.3))),"Y","N"))),"NA")</f>
        <v>NA</v>
      </c>
    </row>
    <row r="46" spans="2:32" x14ac:dyDescent="0.3">
      <c r="B46" s="271">
        <v>23</v>
      </c>
      <c r="C46" s="268" t="s">
        <v>130</v>
      </c>
      <c r="D46" s="212"/>
      <c r="E46" s="213" t="s">
        <v>131</v>
      </c>
      <c r="F46" s="214">
        <v>0</v>
      </c>
      <c r="G46" s="280" t="s">
        <v>132</v>
      </c>
      <c r="H46" s="287">
        <v>0</v>
      </c>
      <c r="I46" s="292">
        <f t="shared" si="0"/>
        <v>0</v>
      </c>
      <c r="J46" s="297" t="s">
        <v>131</v>
      </c>
      <c r="K46" s="282" t="s">
        <v>131</v>
      </c>
      <c r="L46" s="219" t="s">
        <v>131</v>
      </c>
      <c r="M46" s="337" t="s">
        <v>131</v>
      </c>
      <c r="N46" s="332">
        <v>0</v>
      </c>
      <c r="O46" s="337" t="s">
        <v>131</v>
      </c>
      <c r="P46" s="363" t="str">
        <f>IFERROR(INDEX(Data!$B$28:$B$46,MATCH('Rent Roll'!$N46,INDEX(Data!$B$28:$J$46,,MATCH('Rent Roll'!$O46,Data!$B$28:$J$28,0)),-1),1),"NA")</f>
        <v>NA</v>
      </c>
      <c r="Q46" s="280" t="s">
        <v>132</v>
      </c>
      <c r="R46" s="217">
        <v>0</v>
      </c>
      <c r="S46" s="77">
        <f t="shared" si="1"/>
        <v>0</v>
      </c>
      <c r="T46" s="116">
        <f t="shared" si="2"/>
        <v>0</v>
      </c>
      <c r="U46" s="217">
        <v>0</v>
      </c>
      <c r="V46" s="77">
        <f t="shared" si="3"/>
        <v>0</v>
      </c>
      <c r="W46" s="116">
        <f t="shared" si="7"/>
        <v>0</v>
      </c>
      <c r="X46" s="84">
        <f>IFERROR(IF(INDEX(AC$13:AC$17,MATCH($E46,$AB$13:$AB$17,0))&lt;&gt;0,INDEX(AC$13:AC$17,MATCH($E46,$AB$13:$AB$17,0)),
IF($N46="MKT",0,IF($L46="HUD FMR",INDEX(Data!$B$21:$G$21,MATCH($E46,Data!$B$9:$G$9,0))*$N46,INDEX(Data!$B$9:$G$22,MATCH($K46,Data!$B$9:$B$22,0),MATCH($E46,Data!$B$9:$G$9,0))))),0)</f>
        <v>0</v>
      </c>
      <c r="Y46" s="84">
        <f>IFERROR(IF(INDEX(AD$13:AD$17,MATCH($E46,$AB$13:$AB$17,0))&lt;&gt;0,INDEX(AD$13:AD$17,MATCH($E46,$AB$13:$AB$17,0)),
IF($K46="MKT",0,-INDEX(Data!$B$22:$G$22,MATCH($E46,Data!$B$9:$G$9,0)))),0)</f>
        <v>0</v>
      </c>
      <c r="Z46" s="88">
        <f t="shared" si="4"/>
        <v>0</v>
      </c>
      <c r="AA46" s="77">
        <f t="shared" si="5"/>
        <v>0</v>
      </c>
      <c r="AB46" s="116">
        <f t="shared" si="8"/>
        <v>0</v>
      </c>
      <c r="AC46" s="97">
        <f t="shared" si="9"/>
        <v>0</v>
      </c>
      <c r="AD46" s="100">
        <f t="shared" si="6"/>
        <v>0</v>
      </c>
      <c r="AE46" s="116">
        <f t="shared" si="10"/>
        <v>0</v>
      </c>
      <c r="AF46" s="371" t="str">
        <f>IFERROR(IF(AE46=0,"NA",
IF(G46="N",IF(OR(J46="PBV",J46="HCV",(AC46-Y46)&lt;=(INDEX(Data!$C$29:$J$46,MATCH('Rent Roll'!$K46,Data!$B$29:$B$46,0),MATCH($M46,Data!$C$28:$J$28,0))/12*0.3)),"Y","N"),
IF(OR(J46="PBV",J46="HCV",AND((AC46/R46-1)&lt;=0.05,(AC46-Y46)&lt;=(N46/12*0.3))),"Y","N"))),"NA")</f>
        <v>NA</v>
      </c>
    </row>
    <row r="47" spans="2:32" x14ac:dyDescent="0.3">
      <c r="B47" s="271">
        <v>24</v>
      </c>
      <c r="C47" s="268" t="s">
        <v>130</v>
      </c>
      <c r="D47" s="212"/>
      <c r="E47" s="213" t="s">
        <v>131</v>
      </c>
      <c r="F47" s="214">
        <v>0</v>
      </c>
      <c r="G47" s="280" t="s">
        <v>132</v>
      </c>
      <c r="H47" s="287">
        <v>0</v>
      </c>
      <c r="I47" s="292">
        <f t="shared" si="0"/>
        <v>0</v>
      </c>
      <c r="J47" s="297" t="s">
        <v>131</v>
      </c>
      <c r="K47" s="282" t="s">
        <v>131</v>
      </c>
      <c r="L47" s="219" t="s">
        <v>131</v>
      </c>
      <c r="M47" s="337" t="s">
        <v>131</v>
      </c>
      <c r="N47" s="332">
        <v>0</v>
      </c>
      <c r="O47" s="337" t="s">
        <v>131</v>
      </c>
      <c r="P47" s="363" t="str">
        <f>IFERROR(INDEX(Data!$B$28:$B$46,MATCH('Rent Roll'!$N47,INDEX(Data!$B$28:$J$46,,MATCH('Rent Roll'!$O47,Data!$B$28:$J$28,0)),-1),1),"NA")</f>
        <v>NA</v>
      </c>
      <c r="Q47" s="280" t="s">
        <v>132</v>
      </c>
      <c r="R47" s="217">
        <v>0</v>
      </c>
      <c r="S47" s="77">
        <f t="shared" si="1"/>
        <v>0</v>
      </c>
      <c r="T47" s="116">
        <f t="shared" si="2"/>
        <v>0</v>
      </c>
      <c r="U47" s="217">
        <v>0</v>
      </c>
      <c r="V47" s="77">
        <f t="shared" si="3"/>
        <v>0</v>
      </c>
      <c r="W47" s="116">
        <f t="shared" si="7"/>
        <v>0</v>
      </c>
      <c r="X47" s="84">
        <f>IFERROR(IF(INDEX(AC$13:AC$17,MATCH($E47,$AB$13:$AB$17,0))&lt;&gt;0,INDEX(AC$13:AC$17,MATCH($E47,$AB$13:$AB$17,0)),
IF($N47="MKT",0,IF($L47="HUD FMR",INDEX(Data!$B$21:$G$21,MATCH($E47,Data!$B$9:$G$9,0))*$N47,INDEX(Data!$B$9:$G$22,MATCH($K47,Data!$B$9:$B$22,0),MATCH($E47,Data!$B$9:$G$9,0))))),0)</f>
        <v>0</v>
      </c>
      <c r="Y47" s="84">
        <f>IFERROR(IF(INDEX(AD$13:AD$17,MATCH($E47,$AB$13:$AB$17,0))&lt;&gt;0,INDEX(AD$13:AD$17,MATCH($E47,$AB$13:$AB$17,0)),
IF($K47="MKT",0,-INDEX(Data!$B$22:$G$22,MATCH($E47,Data!$B$9:$G$9,0)))),0)</f>
        <v>0</v>
      </c>
      <c r="Z47" s="88">
        <f t="shared" si="4"/>
        <v>0</v>
      </c>
      <c r="AA47" s="77">
        <f t="shared" si="5"/>
        <v>0</v>
      </c>
      <c r="AB47" s="116">
        <f t="shared" si="8"/>
        <v>0</v>
      </c>
      <c r="AC47" s="97">
        <f t="shared" si="9"/>
        <v>0</v>
      </c>
      <c r="AD47" s="100">
        <f t="shared" si="6"/>
        <v>0</v>
      </c>
      <c r="AE47" s="116">
        <f t="shared" si="10"/>
        <v>0</v>
      </c>
      <c r="AF47" s="371" t="str">
        <f>IFERROR(IF(AE47=0,"NA",
IF(G47="N",IF(OR(J47="PBV",J47="HCV",(AC47-Y47)&lt;=(INDEX(Data!$C$29:$J$46,MATCH('Rent Roll'!$K47,Data!$B$29:$B$46,0),MATCH($M47,Data!$C$28:$J$28,0))/12*0.3)),"Y","N"),
IF(OR(J47="PBV",J47="HCV",AND((AC47/R47-1)&lt;=0.05,(AC47-Y47)&lt;=(N47/12*0.3))),"Y","N"))),"NA")</f>
        <v>NA</v>
      </c>
    </row>
    <row r="48" spans="2:32" x14ac:dyDescent="0.3">
      <c r="B48" s="271">
        <v>25</v>
      </c>
      <c r="C48" s="268" t="s">
        <v>130</v>
      </c>
      <c r="D48" s="212"/>
      <c r="E48" s="213" t="s">
        <v>131</v>
      </c>
      <c r="F48" s="214">
        <v>0</v>
      </c>
      <c r="G48" s="280" t="s">
        <v>132</v>
      </c>
      <c r="H48" s="287">
        <v>0</v>
      </c>
      <c r="I48" s="292">
        <f t="shared" si="0"/>
        <v>0</v>
      </c>
      <c r="J48" s="297" t="s">
        <v>131</v>
      </c>
      <c r="K48" s="282" t="s">
        <v>131</v>
      </c>
      <c r="L48" s="219" t="s">
        <v>131</v>
      </c>
      <c r="M48" s="337" t="s">
        <v>131</v>
      </c>
      <c r="N48" s="332">
        <v>0</v>
      </c>
      <c r="O48" s="337" t="s">
        <v>131</v>
      </c>
      <c r="P48" s="363" t="str">
        <f>IFERROR(INDEX(Data!$B$28:$B$46,MATCH('Rent Roll'!$N48,INDEX(Data!$B$28:$J$46,,MATCH('Rent Roll'!$O48,Data!$B$28:$J$28,0)),-1),1),"NA")</f>
        <v>NA</v>
      </c>
      <c r="Q48" s="280" t="s">
        <v>132</v>
      </c>
      <c r="R48" s="217">
        <v>0</v>
      </c>
      <c r="S48" s="77">
        <f t="shared" si="1"/>
        <v>0</v>
      </c>
      <c r="T48" s="116">
        <f t="shared" si="2"/>
        <v>0</v>
      </c>
      <c r="U48" s="217">
        <v>0</v>
      </c>
      <c r="V48" s="77">
        <f t="shared" si="3"/>
        <v>0</v>
      </c>
      <c r="W48" s="116">
        <f t="shared" si="7"/>
        <v>0</v>
      </c>
      <c r="X48" s="84">
        <f>IFERROR(IF(INDEX(AC$13:AC$17,MATCH($E48,$AB$13:$AB$17,0))&lt;&gt;0,INDEX(AC$13:AC$17,MATCH($E48,$AB$13:$AB$17,0)),
IF($N48="MKT",0,IF($L48="HUD FMR",INDEX(Data!$B$21:$G$21,MATCH($E48,Data!$B$9:$G$9,0))*$N48,INDEX(Data!$B$9:$G$22,MATCH($K48,Data!$B$9:$B$22,0),MATCH($E48,Data!$B$9:$G$9,0))))),0)</f>
        <v>0</v>
      </c>
      <c r="Y48" s="84">
        <f>IFERROR(IF(INDEX(AD$13:AD$17,MATCH($E48,$AB$13:$AB$17,0))&lt;&gt;0,INDEX(AD$13:AD$17,MATCH($E48,$AB$13:$AB$17,0)),
IF($K48="MKT",0,-INDEX(Data!$B$22:$G$22,MATCH($E48,Data!$B$9:$G$9,0)))),0)</f>
        <v>0</v>
      </c>
      <c r="Z48" s="88">
        <f t="shared" si="4"/>
        <v>0</v>
      </c>
      <c r="AA48" s="77">
        <f t="shared" si="5"/>
        <v>0</v>
      </c>
      <c r="AB48" s="116">
        <f t="shared" si="8"/>
        <v>0</v>
      </c>
      <c r="AC48" s="97">
        <f t="shared" si="9"/>
        <v>0</v>
      </c>
      <c r="AD48" s="100">
        <f t="shared" si="6"/>
        <v>0</v>
      </c>
      <c r="AE48" s="116">
        <f t="shared" si="10"/>
        <v>0</v>
      </c>
      <c r="AF48" s="371" t="str">
        <f>IFERROR(IF(AE48=0,"NA",
IF(G48="N",IF(OR(J48="PBV",J48="HCV",(AC48-Y48)&lt;=(INDEX(Data!$C$29:$J$46,MATCH('Rent Roll'!$K48,Data!$B$29:$B$46,0),MATCH($M48,Data!$C$28:$J$28,0))/12*0.3)),"Y","N"),
IF(OR(J48="PBV",J48="HCV",AND((AC48/R48-1)&lt;=0.05,(AC48-Y48)&lt;=(N48/12*0.3))),"Y","N"))),"NA")</f>
        <v>NA</v>
      </c>
    </row>
    <row r="49" spans="2:32" x14ac:dyDescent="0.3">
      <c r="B49" s="271">
        <v>26</v>
      </c>
      <c r="C49" s="268" t="s">
        <v>130</v>
      </c>
      <c r="D49" s="212"/>
      <c r="E49" s="213" t="s">
        <v>131</v>
      </c>
      <c r="F49" s="214">
        <v>0</v>
      </c>
      <c r="G49" s="280" t="s">
        <v>132</v>
      </c>
      <c r="H49" s="287">
        <v>0</v>
      </c>
      <c r="I49" s="292">
        <f t="shared" si="0"/>
        <v>0</v>
      </c>
      <c r="J49" s="297" t="s">
        <v>131</v>
      </c>
      <c r="K49" s="282" t="s">
        <v>131</v>
      </c>
      <c r="L49" s="219" t="s">
        <v>131</v>
      </c>
      <c r="M49" s="337" t="s">
        <v>131</v>
      </c>
      <c r="N49" s="332">
        <v>0</v>
      </c>
      <c r="O49" s="337" t="s">
        <v>131</v>
      </c>
      <c r="P49" s="363" t="str">
        <f>IFERROR(INDEX(Data!$B$28:$B$46,MATCH('Rent Roll'!$N49,INDEX(Data!$B$28:$J$46,,MATCH('Rent Roll'!$O49,Data!$B$28:$J$28,0)),-1),1),"NA")</f>
        <v>NA</v>
      </c>
      <c r="Q49" s="280" t="s">
        <v>132</v>
      </c>
      <c r="R49" s="217">
        <v>0</v>
      </c>
      <c r="S49" s="77">
        <f t="shared" si="1"/>
        <v>0</v>
      </c>
      <c r="T49" s="116">
        <f t="shared" si="2"/>
        <v>0</v>
      </c>
      <c r="U49" s="217">
        <v>0</v>
      </c>
      <c r="V49" s="77">
        <f t="shared" si="3"/>
        <v>0</v>
      </c>
      <c r="W49" s="116">
        <f t="shared" si="7"/>
        <v>0</v>
      </c>
      <c r="X49" s="84">
        <f>IFERROR(IF(INDEX(AC$13:AC$17,MATCH($E49,$AB$13:$AB$17,0))&lt;&gt;0,INDEX(AC$13:AC$17,MATCH($E49,$AB$13:$AB$17,0)),
IF($N49="MKT",0,IF($L49="HUD FMR",INDEX(Data!$B$21:$G$21,MATCH($E49,Data!$B$9:$G$9,0))*$N49,INDEX(Data!$B$9:$G$22,MATCH($K49,Data!$B$9:$B$22,0),MATCH($E49,Data!$B$9:$G$9,0))))),0)</f>
        <v>0</v>
      </c>
      <c r="Y49" s="84">
        <f>IFERROR(IF(INDEX(AD$13:AD$17,MATCH($E49,$AB$13:$AB$17,0))&lt;&gt;0,INDEX(AD$13:AD$17,MATCH($E49,$AB$13:$AB$17,0)),
IF($K49="MKT",0,-INDEX(Data!$B$22:$G$22,MATCH($E49,Data!$B$9:$G$9,0)))),0)</f>
        <v>0</v>
      </c>
      <c r="Z49" s="88">
        <f t="shared" si="4"/>
        <v>0</v>
      </c>
      <c r="AA49" s="77">
        <f t="shared" si="5"/>
        <v>0</v>
      </c>
      <c r="AB49" s="116">
        <f t="shared" si="8"/>
        <v>0</v>
      </c>
      <c r="AC49" s="97">
        <f t="shared" si="9"/>
        <v>0</v>
      </c>
      <c r="AD49" s="100">
        <f t="shared" si="6"/>
        <v>0</v>
      </c>
      <c r="AE49" s="116">
        <f t="shared" si="10"/>
        <v>0</v>
      </c>
      <c r="AF49" s="371" t="str">
        <f>IFERROR(IF(AE49=0,"NA",
IF(G49="N",IF(OR(J49="PBV",J49="HCV",(AC49-Y49)&lt;=(INDEX(Data!$C$29:$J$46,MATCH('Rent Roll'!$K49,Data!$B$29:$B$46,0),MATCH($M49,Data!$C$28:$J$28,0))/12*0.3)),"Y","N"),
IF(OR(J49="PBV",J49="HCV",AND((AC49/R49-1)&lt;=0.05,(AC49-Y49)&lt;=(N49/12*0.3))),"Y","N"))),"NA")</f>
        <v>NA</v>
      </c>
    </row>
    <row r="50" spans="2:32" x14ac:dyDescent="0.3">
      <c r="B50" s="271">
        <v>27</v>
      </c>
      <c r="C50" s="268" t="s">
        <v>130</v>
      </c>
      <c r="D50" s="212"/>
      <c r="E50" s="213" t="s">
        <v>131</v>
      </c>
      <c r="F50" s="214">
        <v>0</v>
      </c>
      <c r="G50" s="280" t="s">
        <v>132</v>
      </c>
      <c r="H50" s="287">
        <v>0</v>
      </c>
      <c r="I50" s="292">
        <f t="shared" si="0"/>
        <v>0</v>
      </c>
      <c r="J50" s="297" t="s">
        <v>131</v>
      </c>
      <c r="K50" s="282" t="s">
        <v>131</v>
      </c>
      <c r="L50" s="219" t="s">
        <v>131</v>
      </c>
      <c r="M50" s="337" t="s">
        <v>131</v>
      </c>
      <c r="N50" s="332">
        <v>0</v>
      </c>
      <c r="O50" s="337" t="s">
        <v>131</v>
      </c>
      <c r="P50" s="363" t="str">
        <f>IFERROR(INDEX(Data!$B$28:$B$46,MATCH('Rent Roll'!$N50,INDEX(Data!$B$28:$J$46,,MATCH('Rent Roll'!$O50,Data!$B$28:$J$28,0)),-1),1),"NA")</f>
        <v>NA</v>
      </c>
      <c r="Q50" s="280" t="s">
        <v>132</v>
      </c>
      <c r="R50" s="217">
        <v>0</v>
      </c>
      <c r="S50" s="77">
        <f t="shared" si="1"/>
        <v>0</v>
      </c>
      <c r="T50" s="116">
        <f t="shared" si="2"/>
        <v>0</v>
      </c>
      <c r="U50" s="217">
        <v>0</v>
      </c>
      <c r="V50" s="77">
        <f t="shared" si="3"/>
        <v>0</v>
      </c>
      <c r="W50" s="116">
        <f t="shared" si="7"/>
        <v>0</v>
      </c>
      <c r="X50" s="84">
        <f>IFERROR(IF(INDEX(AC$13:AC$17,MATCH($E50,$AB$13:$AB$17,0))&lt;&gt;0,INDEX(AC$13:AC$17,MATCH($E50,$AB$13:$AB$17,0)),
IF($N50="MKT",0,IF($L50="HUD FMR",INDEX(Data!$B$21:$G$21,MATCH($E50,Data!$B$9:$G$9,0))*$N50,INDEX(Data!$B$9:$G$22,MATCH($K50,Data!$B$9:$B$22,0),MATCH($E50,Data!$B$9:$G$9,0))))),0)</f>
        <v>0</v>
      </c>
      <c r="Y50" s="84">
        <f>IFERROR(IF(INDEX(AD$13:AD$17,MATCH($E50,$AB$13:$AB$17,0))&lt;&gt;0,INDEX(AD$13:AD$17,MATCH($E50,$AB$13:$AB$17,0)),
IF($K50="MKT",0,-INDEX(Data!$B$22:$G$22,MATCH($E50,Data!$B$9:$G$9,0)))),0)</f>
        <v>0</v>
      </c>
      <c r="Z50" s="88">
        <f t="shared" si="4"/>
        <v>0</v>
      </c>
      <c r="AA50" s="77">
        <f t="shared" si="5"/>
        <v>0</v>
      </c>
      <c r="AB50" s="116">
        <f t="shared" si="8"/>
        <v>0</v>
      </c>
      <c r="AC50" s="97">
        <f t="shared" si="9"/>
        <v>0</v>
      </c>
      <c r="AD50" s="100">
        <f t="shared" si="6"/>
        <v>0</v>
      </c>
      <c r="AE50" s="116">
        <f t="shared" si="10"/>
        <v>0</v>
      </c>
      <c r="AF50" s="371" t="str">
        <f>IFERROR(IF(AE50=0,"NA",
IF(G50="N",IF(OR(J50="PBV",J50="HCV",(AC50-Y50)&lt;=(INDEX(Data!$C$29:$J$46,MATCH('Rent Roll'!$K50,Data!$B$29:$B$46,0),MATCH($M50,Data!$C$28:$J$28,0))/12*0.3)),"Y","N"),
IF(OR(J50="PBV",J50="HCV",AND((AC50/R50-1)&lt;=0.05,(AC50-Y50)&lt;=(N50/12*0.3))),"Y","N"))),"NA")</f>
        <v>NA</v>
      </c>
    </row>
    <row r="51" spans="2:32" x14ac:dyDescent="0.3">
      <c r="B51" s="271">
        <v>28</v>
      </c>
      <c r="C51" s="268" t="s">
        <v>130</v>
      </c>
      <c r="D51" s="212"/>
      <c r="E51" s="213" t="s">
        <v>131</v>
      </c>
      <c r="F51" s="214">
        <v>0</v>
      </c>
      <c r="G51" s="280" t="s">
        <v>132</v>
      </c>
      <c r="H51" s="287">
        <v>0</v>
      </c>
      <c r="I51" s="292">
        <f t="shared" si="0"/>
        <v>0</v>
      </c>
      <c r="J51" s="297" t="s">
        <v>131</v>
      </c>
      <c r="K51" s="282" t="s">
        <v>131</v>
      </c>
      <c r="L51" s="219" t="s">
        <v>131</v>
      </c>
      <c r="M51" s="337" t="s">
        <v>131</v>
      </c>
      <c r="N51" s="332">
        <v>0</v>
      </c>
      <c r="O51" s="337" t="s">
        <v>131</v>
      </c>
      <c r="P51" s="363" t="str">
        <f>IFERROR(INDEX(Data!$B$28:$B$46,MATCH('Rent Roll'!$N51,INDEX(Data!$B$28:$J$46,,MATCH('Rent Roll'!$O51,Data!$B$28:$J$28,0)),-1),1),"NA")</f>
        <v>NA</v>
      </c>
      <c r="Q51" s="280" t="s">
        <v>132</v>
      </c>
      <c r="R51" s="217">
        <v>0</v>
      </c>
      <c r="S51" s="77">
        <f t="shared" si="1"/>
        <v>0</v>
      </c>
      <c r="T51" s="116">
        <f t="shared" si="2"/>
        <v>0</v>
      </c>
      <c r="U51" s="217">
        <v>0</v>
      </c>
      <c r="V51" s="77">
        <f t="shared" si="3"/>
        <v>0</v>
      </c>
      <c r="W51" s="116">
        <f t="shared" si="7"/>
        <v>0</v>
      </c>
      <c r="X51" s="84">
        <f>IFERROR(IF(INDEX(AC$13:AC$17,MATCH($E51,$AB$13:$AB$17,0))&lt;&gt;0,INDEX(AC$13:AC$17,MATCH($E51,$AB$13:$AB$17,0)),
IF($N51="MKT",0,IF($L51="HUD FMR",INDEX(Data!$B$21:$G$21,MATCH($E51,Data!$B$9:$G$9,0))*$N51,INDEX(Data!$B$9:$G$22,MATCH($K51,Data!$B$9:$B$22,0),MATCH($E51,Data!$B$9:$G$9,0))))),0)</f>
        <v>0</v>
      </c>
      <c r="Y51" s="84">
        <f>IFERROR(IF(INDEX(AD$13:AD$17,MATCH($E51,$AB$13:$AB$17,0))&lt;&gt;0,INDEX(AD$13:AD$17,MATCH($E51,$AB$13:$AB$17,0)),
IF($K51="MKT",0,-INDEX(Data!$B$22:$G$22,MATCH($E51,Data!$B$9:$G$9,0)))),0)</f>
        <v>0</v>
      </c>
      <c r="Z51" s="88">
        <f t="shared" si="4"/>
        <v>0</v>
      </c>
      <c r="AA51" s="77">
        <f t="shared" si="5"/>
        <v>0</v>
      </c>
      <c r="AB51" s="116">
        <f t="shared" si="8"/>
        <v>0</v>
      </c>
      <c r="AC51" s="97">
        <f t="shared" si="9"/>
        <v>0</v>
      </c>
      <c r="AD51" s="100">
        <f t="shared" si="6"/>
        <v>0</v>
      </c>
      <c r="AE51" s="116">
        <f t="shared" si="10"/>
        <v>0</v>
      </c>
      <c r="AF51" s="371" t="str">
        <f>IFERROR(IF(AE51=0,"NA",
IF(G51="N",IF(OR(J51="PBV",J51="HCV",(AC51-Y51)&lt;=(INDEX(Data!$C$29:$J$46,MATCH('Rent Roll'!$K51,Data!$B$29:$B$46,0),MATCH($M51,Data!$C$28:$J$28,0))/12*0.3)),"Y","N"),
IF(OR(J51="PBV",J51="HCV",AND((AC51/R51-1)&lt;=0.05,(AC51-Y51)&lt;=(N51/12*0.3))),"Y","N"))),"NA")</f>
        <v>NA</v>
      </c>
    </row>
    <row r="52" spans="2:32" x14ac:dyDescent="0.3">
      <c r="B52" s="271">
        <v>29</v>
      </c>
      <c r="C52" s="268" t="s">
        <v>130</v>
      </c>
      <c r="D52" s="212"/>
      <c r="E52" s="213" t="s">
        <v>131</v>
      </c>
      <c r="F52" s="214">
        <v>0</v>
      </c>
      <c r="G52" s="280" t="s">
        <v>132</v>
      </c>
      <c r="H52" s="287">
        <v>0</v>
      </c>
      <c r="I52" s="292">
        <f t="shared" si="0"/>
        <v>0</v>
      </c>
      <c r="J52" s="297" t="s">
        <v>131</v>
      </c>
      <c r="K52" s="282" t="s">
        <v>131</v>
      </c>
      <c r="L52" s="219" t="s">
        <v>131</v>
      </c>
      <c r="M52" s="337" t="s">
        <v>131</v>
      </c>
      <c r="N52" s="332">
        <v>0</v>
      </c>
      <c r="O52" s="337" t="s">
        <v>131</v>
      </c>
      <c r="P52" s="363" t="str">
        <f>IFERROR(INDEX(Data!$B$28:$B$46,MATCH('Rent Roll'!$N52,INDEX(Data!$B$28:$J$46,,MATCH('Rent Roll'!$O52,Data!$B$28:$J$28,0)),-1),1),"NA")</f>
        <v>NA</v>
      </c>
      <c r="Q52" s="280" t="s">
        <v>132</v>
      </c>
      <c r="R52" s="217">
        <v>0</v>
      </c>
      <c r="S52" s="77">
        <f t="shared" si="1"/>
        <v>0</v>
      </c>
      <c r="T52" s="116">
        <f t="shared" si="2"/>
        <v>0</v>
      </c>
      <c r="U52" s="217">
        <v>0</v>
      </c>
      <c r="V52" s="77">
        <f t="shared" si="3"/>
        <v>0</v>
      </c>
      <c r="W52" s="116">
        <f t="shared" si="7"/>
        <v>0</v>
      </c>
      <c r="X52" s="84">
        <f>IFERROR(IF(INDEX(AC$13:AC$17,MATCH($E52,$AB$13:$AB$17,0))&lt;&gt;0,INDEX(AC$13:AC$17,MATCH($E52,$AB$13:$AB$17,0)),
IF($N52="MKT",0,IF($L52="HUD FMR",INDEX(Data!$B$21:$G$21,MATCH($E52,Data!$B$9:$G$9,0))*$N52,INDEX(Data!$B$9:$G$22,MATCH($K52,Data!$B$9:$B$22,0),MATCH($E52,Data!$B$9:$G$9,0))))),0)</f>
        <v>0</v>
      </c>
      <c r="Y52" s="84">
        <f>IFERROR(IF(INDEX(AD$13:AD$17,MATCH($E52,$AB$13:$AB$17,0))&lt;&gt;0,INDEX(AD$13:AD$17,MATCH($E52,$AB$13:$AB$17,0)),
IF($K52="MKT",0,-INDEX(Data!$B$22:$G$22,MATCH($E52,Data!$B$9:$G$9,0)))),0)</f>
        <v>0</v>
      </c>
      <c r="Z52" s="88">
        <f t="shared" si="4"/>
        <v>0</v>
      </c>
      <c r="AA52" s="77">
        <f t="shared" si="5"/>
        <v>0</v>
      </c>
      <c r="AB52" s="116">
        <f t="shared" si="8"/>
        <v>0</v>
      </c>
      <c r="AC52" s="97">
        <f t="shared" si="9"/>
        <v>0</v>
      </c>
      <c r="AD52" s="100">
        <f t="shared" si="6"/>
        <v>0</v>
      </c>
      <c r="AE52" s="116">
        <f t="shared" si="10"/>
        <v>0</v>
      </c>
      <c r="AF52" s="371" t="str">
        <f>IFERROR(IF(AE52=0,"NA",
IF(G52="N",IF(OR(J52="PBV",J52="HCV",(AC52-Y52)&lt;=(INDEX(Data!$C$29:$J$46,MATCH('Rent Roll'!$K52,Data!$B$29:$B$46,0),MATCH($M52,Data!$C$28:$J$28,0))/12*0.3)),"Y","N"),
IF(OR(J52="PBV",J52="HCV",AND((AC52/R52-1)&lt;=0.05,(AC52-Y52)&lt;=(N52/12*0.3))),"Y","N"))),"NA")</f>
        <v>NA</v>
      </c>
    </row>
    <row r="53" spans="2:32" x14ac:dyDescent="0.3">
      <c r="B53" s="271">
        <v>30</v>
      </c>
      <c r="C53" s="268" t="s">
        <v>130</v>
      </c>
      <c r="D53" s="212"/>
      <c r="E53" s="213" t="s">
        <v>131</v>
      </c>
      <c r="F53" s="214">
        <v>0</v>
      </c>
      <c r="G53" s="280" t="s">
        <v>132</v>
      </c>
      <c r="H53" s="287">
        <v>0</v>
      </c>
      <c r="I53" s="292">
        <f t="shared" si="0"/>
        <v>0</v>
      </c>
      <c r="J53" s="297" t="s">
        <v>131</v>
      </c>
      <c r="K53" s="282" t="s">
        <v>131</v>
      </c>
      <c r="L53" s="219" t="s">
        <v>131</v>
      </c>
      <c r="M53" s="337" t="s">
        <v>131</v>
      </c>
      <c r="N53" s="332">
        <v>0</v>
      </c>
      <c r="O53" s="337" t="s">
        <v>131</v>
      </c>
      <c r="P53" s="363" t="str">
        <f>IFERROR(INDEX(Data!$B$28:$B$46,MATCH('Rent Roll'!$N53,INDEX(Data!$B$28:$J$46,,MATCH('Rent Roll'!$O53,Data!$B$28:$J$28,0)),-1),1),"NA")</f>
        <v>NA</v>
      </c>
      <c r="Q53" s="280" t="s">
        <v>132</v>
      </c>
      <c r="R53" s="217">
        <v>0</v>
      </c>
      <c r="S53" s="77">
        <f t="shared" si="1"/>
        <v>0</v>
      </c>
      <c r="T53" s="116">
        <f t="shared" si="2"/>
        <v>0</v>
      </c>
      <c r="U53" s="217">
        <v>0</v>
      </c>
      <c r="V53" s="77">
        <f t="shared" si="3"/>
        <v>0</v>
      </c>
      <c r="W53" s="116">
        <f t="shared" si="7"/>
        <v>0</v>
      </c>
      <c r="X53" s="84">
        <f>IFERROR(IF(INDEX(AC$13:AC$17,MATCH($E53,$AB$13:$AB$17,0))&lt;&gt;0,INDEX(AC$13:AC$17,MATCH($E53,$AB$13:$AB$17,0)),
IF($N53="MKT",0,IF($L53="HUD FMR",INDEX(Data!$B$21:$G$21,MATCH($E53,Data!$B$9:$G$9,0))*$N53,INDEX(Data!$B$9:$G$22,MATCH($K53,Data!$B$9:$B$22,0),MATCH($E53,Data!$B$9:$G$9,0))))),0)</f>
        <v>0</v>
      </c>
      <c r="Y53" s="84">
        <f>IFERROR(IF(INDEX(AD$13:AD$17,MATCH($E53,$AB$13:$AB$17,0))&lt;&gt;0,INDEX(AD$13:AD$17,MATCH($E53,$AB$13:$AB$17,0)),
IF($K53="MKT",0,-INDEX(Data!$B$22:$G$22,MATCH($E53,Data!$B$9:$G$9,0)))),0)</f>
        <v>0</v>
      </c>
      <c r="Z53" s="88">
        <f t="shared" si="4"/>
        <v>0</v>
      </c>
      <c r="AA53" s="77">
        <f t="shared" si="5"/>
        <v>0</v>
      </c>
      <c r="AB53" s="116">
        <f t="shared" si="8"/>
        <v>0</v>
      </c>
      <c r="AC53" s="97">
        <f t="shared" si="9"/>
        <v>0</v>
      </c>
      <c r="AD53" s="100">
        <f t="shared" si="6"/>
        <v>0</v>
      </c>
      <c r="AE53" s="116">
        <f t="shared" si="10"/>
        <v>0</v>
      </c>
      <c r="AF53" s="371" t="str">
        <f>IFERROR(IF(AE53=0,"NA",
IF(G53="N",IF(OR(J53="PBV",J53="HCV",(AC53-Y53)&lt;=(INDEX(Data!$C$29:$J$46,MATCH('Rent Roll'!$K53,Data!$B$29:$B$46,0),MATCH($M53,Data!$C$28:$J$28,0))/12*0.3)),"Y","N"),
IF(OR(J53="PBV",J53="HCV",AND((AC53/R53-1)&lt;=0.05,(AC53-Y53)&lt;=(N53/12*0.3))),"Y","N"))),"NA")</f>
        <v>NA</v>
      </c>
    </row>
    <row r="54" spans="2:32" x14ac:dyDescent="0.3">
      <c r="B54" s="271">
        <v>31</v>
      </c>
      <c r="C54" s="268" t="s">
        <v>130</v>
      </c>
      <c r="D54" s="212"/>
      <c r="E54" s="213" t="s">
        <v>131</v>
      </c>
      <c r="F54" s="214">
        <v>0</v>
      </c>
      <c r="G54" s="280" t="s">
        <v>132</v>
      </c>
      <c r="H54" s="287">
        <v>0</v>
      </c>
      <c r="I54" s="292">
        <f t="shared" si="0"/>
        <v>0</v>
      </c>
      <c r="J54" s="297" t="s">
        <v>131</v>
      </c>
      <c r="K54" s="282" t="s">
        <v>131</v>
      </c>
      <c r="L54" s="219" t="s">
        <v>131</v>
      </c>
      <c r="M54" s="337" t="s">
        <v>131</v>
      </c>
      <c r="N54" s="332">
        <v>0</v>
      </c>
      <c r="O54" s="337" t="s">
        <v>131</v>
      </c>
      <c r="P54" s="363" t="str">
        <f>IFERROR(INDEX(Data!$B$28:$B$46,MATCH('Rent Roll'!$N54,INDEX(Data!$B$28:$J$46,,MATCH('Rent Roll'!$O54,Data!$B$28:$J$28,0)),-1),1),"NA")</f>
        <v>NA</v>
      </c>
      <c r="Q54" s="280" t="s">
        <v>132</v>
      </c>
      <c r="R54" s="217">
        <v>0</v>
      </c>
      <c r="S54" s="77">
        <f t="shared" si="1"/>
        <v>0</v>
      </c>
      <c r="T54" s="116">
        <f t="shared" si="2"/>
        <v>0</v>
      </c>
      <c r="U54" s="217">
        <v>0</v>
      </c>
      <c r="V54" s="77">
        <f t="shared" si="3"/>
        <v>0</v>
      </c>
      <c r="W54" s="116">
        <f t="shared" si="7"/>
        <v>0</v>
      </c>
      <c r="X54" s="84">
        <f>IFERROR(IF(INDEX(AC$13:AC$17,MATCH($E54,$AB$13:$AB$17,0))&lt;&gt;0,INDEX(AC$13:AC$17,MATCH($E54,$AB$13:$AB$17,0)),
IF($N54="MKT",0,IF($L54="HUD FMR",INDEX(Data!$B$21:$G$21,MATCH($E54,Data!$B$9:$G$9,0))*$N54,INDEX(Data!$B$9:$G$22,MATCH($K54,Data!$B$9:$B$22,0),MATCH($E54,Data!$B$9:$G$9,0))))),0)</f>
        <v>0</v>
      </c>
      <c r="Y54" s="84">
        <f>IFERROR(IF(INDEX(AD$13:AD$17,MATCH($E54,$AB$13:$AB$17,0))&lt;&gt;0,INDEX(AD$13:AD$17,MATCH($E54,$AB$13:$AB$17,0)),
IF($K54="MKT",0,-INDEX(Data!$B$22:$G$22,MATCH($E54,Data!$B$9:$G$9,0)))),0)</f>
        <v>0</v>
      </c>
      <c r="Z54" s="88">
        <f t="shared" si="4"/>
        <v>0</v>
      </c>
      <c r="AA54" s="77">
        <f t="shared" si="5"/>
        <v>0</v>
      </c>
      <c r="AB54" s="116">
        <f t="shared" si="8"/>
        <v>0</v>
      </c>
      <c r="AC54" s="97">
        <f t="shared" si="9"/>
        <v>0</v>
      </c>
      <c r="AD54" s="100">
        <f t="shared" si="6"/>
        <v>0</v>
      </c>
      <c r="AE54" s="116">
        <f t="shared" si="10"/>
        <v>0</v>
      </c>
      <c r="AF54" s="371" t="str">
        <f>IFERROR(IF(AE54=0,"NA",
IF(G54="N",IF(OR(J54="PBV",J54="HCV",(AC54-Y54)&lt;=(INDEX(Data!$C$29:$J$46,MATCH('Rent Roll'!$K54,Data!$B$29:$B$46,0),MATCH($M54,Data!$C$28:$J$28,0))/12*0.3)),"Y","N"),
IF(OR(J54="PBV",J54="HCV",AND((AC54/R54-1)&lt;=0.05,(AC54-Y54)&lt;=(N54/12*0.3))),"Y","N"))),"NA")</f>
        <v>NA</v>
      </c>
    </row>
    <row r="55" spans="2:32" x14ac:dyDescent="0.3">
      <c r="B55" s="271">
        <v>32</v>
      </c>
      <c r="C55" s="268" t="s">
        <v>130</v>
      </c>
      <c r="D55" s="212"/>
      <c r="E55" s="213" t="s">
        <v>131</v>
      </c>
      <c r="F55" s="214">
        <v>0</v>
      </c>
      <c r="G55" s="280" t="s">
        <v>132</v>
      </c>
      <c r="H55" s="287">
        <v>0</v>
      </c>
      <c r="I55" s="292">
        <f t="shared" si="0"/>
        <v>0</v>
      </c>
      <c r="J55" s="297" t="s">
        <v>131</v>
      </c>
      <c r="K55" s="282" t="s">
        <v>131</v>
      </c>
      <c r="L55" s="219" t="s">
        <v>131</v>
      </c>
      <c r="M55" s="337" t="s">
        <v>131</v>
      </c>
      <c r="N55" s="332">
        <v>0</v>
      </c>
      <c r="O55" s="337" t="s">
        <v>131</v>
      </c>
      <c r="P55" s="363" t="str">
        <f>IFERROR(INDEX(Data!$B$28:$B$46,MATCH('Rent Roll'!$N55,INDEX(Data!$B$28:$J$46,,MATCH('Rent Roll'!$O55,Data!$B$28:$J$28,0)),-1),1),"NA")</f>
        <v>NA</v>
      </c>
      <c r="Q55" s="280" t="s">
        <v>132</v>
      </c>
      <c r="R55" s="217">
        <v>0</v>
      </c>
      <c r="S55" s="77">
        <f t="shared" si="1"/>
        <v>0</v>
      </c>
      <c r="T55" s="116">
        <f t="shared" si="2"/>
        <v>0</v>
      </c>
      <c r="U55" s="217">
        <v>0</v>
      </c>
      <c r="V55" s="77">
        <f t="shared" si="3"/>
        <v>0</v>
      </c>
      <c r="W55" s="116">
        <f t="shared" si="7"/>
        <v>0</v>
      </c>
      <c r="X55" s="84">
        <f>IFERROR(IF(INDEX(AC$13:AC$17,MATCH($E55,$AB$13:$AB$17,0))&lt;&gt;0,INDEX(AC$13:AC$17,MATCH($E55,$AB$13:$AB$17,0)),
IF($N55="MKT",0,IF($L55="HUD FMR",INDEX(Data!$B$21:$G$21,MATCH($E55,Data!$B$9:$G$9,0))*$N55,INDEX(Data!$B$9:$G$22,MATCH($K55,Data!$B$9:$B$22,0),MATCH($E55,Data!$B$9:$G$9,0))))),0)</f>
        <v>0</v>
      </c>
      <c r="Y55" s="84">
        <f>IFERROR(IF(INDEX(AD$13:AD$17,MATCH($E55,$AB$13:$AB$17,0))&lt;&gt;0,INDEX(AD$13:AD$17,MATCH($E55,$AB$13:$AB$17,0)),
IF($K55="MKT",0,-INDEX(Data!$B$22:$G$22,MATCH($E55,Data!$B$9:$G$9,0)))),0)</f>
        <v>0</v>
      </c>
      <c r="Z55" s="88">
        <f t="shared" si="4"/>
        <v>0</v>
      </c>
      <c r="AA55" s="77">
        <f t="shared" si="5"/>
        <v>0</v>
      </c>
      <c r="AB55" s="116">
        <f t="shared" si="8"/>
        <v>0</v>
      </c>
      <c r="AC55" s="97">
        <f t="shared" si="9"/>
        <v>0</v>
      </c>
      <c r="AD55" s="100">
        <f t="shared" si="6"/>
        <v>0</v>
      </c>
      <c r="AE55" s="116">
        <f t="shared" si="10"/>
        <v>0</v>
      </c>
      <c r="AF55" s="371" t="str">
        <f>IFERROR(IF(AE55=0,"NA",
IF(G55="N",IF(OR(J55="PBV",J55="HCV",(AC55-Y55)&lt;=(INDEX(Data!$C$29:$J$46,MATCH('Rent Roll'!$K55,Data!$B$29:$B$46,0),MATCH($M55,Data!$C$28:$J$28,0))/12*0.3)),"Y","N"),
IF(OR(J55="PBV",J55="HCV",AND((AC55/R55-1)&lt;=0.05,(AC55-Y55)&lt;=(N55/12*0.3))),"Y","N"))),"NA")</f>
        <v>NA</v>
      </c>
    </row>
    <row r="56" spans="2:32" x14ac:dyDescent="0.3">
      <c r="B56" s="271">
        <v>33</v>
      </c>
      <c r="C56" s="268" t="s">
        <v>130</v>
      </c>
      <c r="D56" s="212"/>
      <c r="E56" s="213" t="s">
        <v>131</v>
      </c>
      <c r="F56" s="214">
        <v>0</v>
      </c>
      <c r="G56" s="280" t="s">
        <v>132</v>
      </c>
      <c r="H56" s="287">
        <v>0</v>
      </c>
      <c r="I56" s="292">
        <f t="shared" ref="I56:I87" si="11">F56*H56</f>
        <v>0</v>
      </c>
      <c r="J56" s="297" t="s">
        <v>131</v>
      </c>
      <c r="K56" s="282" t="s">
        <v>131</v>
      </c>
      <c r="L56" s="219" t="s">
        <v>131</v>
      </c>
      <c r="M56" s="337" t="s">
        <v>131</v>
      </c>
      <c r="N56" s="332">
        <v>0</v>
      </c>
      <c r="O56" s="337" t="s">
        <v>131</v>
      </c>
      <c r="P56" s="363" t="str">
        <f>IFERROR(INDEX(Data!$B$28:$B$46,MATCH('Rent Roll'!$N56,INDEX(Data!$B$28:$J$46,,MATCH('Rent Roll'!$O56,Data!$B$28:$J$28,0)),-1),1),"NA")</f>
        <v>NA</v>
      </c>
      <c r="Q56" s="280" t="s">
        <v>132</v>
      </c>
      <c r="R56" s="217">
        <v>0</v>
      </c>
      <c r="S56" s="77">
        <f t="shared" ref="S56:S87" si="12">IFERROR(R56/$F56,0)</f>
        <v>0</v>
      </c>
      <c r="T56" s="116">
        <f t="shared" ref="T56:T87" si="13">IF(G56="Y",R56*$H56*12,0)</f>
        <v>0</v>
      </c>
      <c r="U56" s="217">
        <v>0</v>
      </c>
      <c r="V56" s="77">
        <f t="shared" ref="V56:V87" si="14">IFERROR(U56/$F56,0)</f>
        <v>0</v>
      </c>
      <c r="W56" s="116">
        <f t="shared" si="7"/>
        <v>0</v>
      </c>
      <c r="X56" s="84">
        <f>IFERROR(IF(INDEX(AC$13:AC$17,MATCH($E56,$AB$13:$AB$17,0))&lt;&gt;0,INDEX(AC$13:AC$17,MATCH($E56,$AB$13:$AB$17,0)),
IF($N56="MKT",0,IF($L56="HUD FMR",INDEX(Data!$B$21:$G$21,MATCH($E56,Data!$B$9:$G$9,0))*$N56,INDEX(Data!$B$9:$G$22,MATCH($K56,Data!$B$9:$B$22,0),MATCH($E56,Data!$B$9:$G$9,0))))),0)</f>
        <v>0</v>
      </c>
      <c r="Y56" s="84">
        <f>IFERROR(IF(INDEX(AD$13:AD$17,MATCH($E56,$AB$13:$AB$17,0))&lt;&gt;0,INDEX(AD$13:AD$17,MATCH($E56,$AB$13:$AB$17,0)),
IF($K56="MKT",0,-INDEX(Data!$B$22:$G$22,MATCH($E56,Data!$B$9:$G$9,0)))),0)</f>
        <v>0</v>
      </c>
      <c r="Z56" s="88">
        <f t="shared" ref="Z56:Z87" si="15">SUM(X56:Y56)</f>
        <v>0</v>
      </c>
      <c r="AA56" s="77">
        <f t="shared" ref="AA56:AA87" si="16">IFERROR(Z56/$F56,0)</f>
        <v>0</v>
      </c>
      <c r="AB56" s="116">
        <f t="shared" si="8"/>
        <v>0</v>
      </c>
      <c r="AC56" s="97">
        <f t="shared" si="9"/>
        <v>0</v>
      </c>
      <c r="AD56" s="100">
        <f t="shared" ref="AD56:AD87" si="17">IFERROR(AC56/$F56,0)</f>
        <v>0</v>
      </c>
      <c r="AE56" s="116">
        <f t="shared" si="10"/>
        <v>0</v>
      </c>
      <c r="AF56" s="371" t="str">
        <f>IFERROR(IF(AE56=0,"NA",
IF(G56="N",IF(OR(J56="PBV",J56="HCV",(AC56-Y56)&lt;=(INDEX(Data!$C$29:$J$46,MATCH('Rent Roll'!$K56,Data!$B$29:$B$46,0),MATCH($M56,Data!$C$28:$J$28,0))/12*0.3)),"Y","N"),
IF(OR(J56="PBV",J56="HCV",AND((AC56/R56-1)&lt;=0.05,(AC56-Y56)&lt;=(N56/12*0.3))),"Y","N"))),"NA")</f>
        <v>NA</v>
      </c>
    </row>
    <row r="57" spans="2:32" x14ac:dyDescent="0.3">
      <c r="B57" s="271">
        <v>34</v>
      </c>
      <c r="C57" s="268" t="s">
        <v>130</v>
      </c>
      <c r="D57" s="212"/>
      <c r="E57" s="213" t="s">
        <v>131</v>
      </c>
      <c r="F57" s="214">
        <v>0</v>
      </c>
      <c r="G57" s="280" t="s">
        <v>132</v>
      </c>
      <c r="H57" s="287">
        <v>0</v>
      </c>
      <c r="I57" s="292">
        <f t="shared" si="11"/>
        <v>0</v>
      </c>
      <c r="J57" s="297" t="s">
        <v>131</v>
      </c>
      <c r="K57" s="282" t="s">
        <v>131</v>
      </c>
      <c r="L57" s="219" t="s">
        <v>131</v>
      </c>
      <c r="M57" s="337" t="s">
        <v>131</v>
      </c>
      <c r="N57" s="332">
        <v>0</v>
      </c>
      <c r="O57" s="337" t="s">
        <v>131</v>
      </c>
      <c r="P57" s="363" t="str">
        <f>IFERROR(INDEX(Data!$B$28:$B$46,MATCH('Rent Roll'!$N57,INDEX(Data!$B$28:$J$46,,MATCH('Rent Roll'!$O57,Data!$B$28:$J$28,0)),-1),1),"NA")</f>
        <v>NA</v>
      </c>
      <c r="Q57" s="280" t="s">
        <v>132</v>
      </c>
      <c r="R57" s="217">
        <v>0</v>
      </c>
      <c r="S57" s="77">
        <f t="shared" si="12"/>
        <v>0</v>
      </c>
      <c r="T57" s="116">
        <f t="shared" si="13"/>
        <v>0</v>
      </c>
      <c r="U57" s="217">
        <v>0</v>
      </c>
      <c r="V57" s="77">
        <f t="shared" si="14"/>
        <v>0</v>
      </c>
      <c r="W57" s="116">
        <f t="shared" si="7"/>
        <v>0</v>
      </c>
      <c r="X57" s="84">
        <f>IFERROR(IF(INDEX(AC$13:AC$17,MATCH($E57,$AB$13:$AB$17,0))&lt;&gt;0,INDEX(AC$13:AC$17,MATCH($E57,$AB$13:$AB$17,0)),
IF($N57="MKT",0,IF($L57="HUD FMR",INDEX(Data!$B$21:$G$21,MATCH($E57,Data!$B$9:$G$9,0))*$N57,INDEX(Data!$B$9:$G$22,MATCH($K57,Data!$B$9:$B$22,0),MATCH($E57,Data!$B$9:$G$9,0))))),0)</f>
        <v>0</v>
      </c>
      <c r="Y57" s="84">
        <f>IFERROR(IF(INDEX(AD$13:AD$17,MATCH($E57,$AB$13:$AB$17,0))&lt;&gt;0,INDEX(AD$13:AD$17,MATCH($E57,$AB$13:$AB$17,0)),
IF($K57="MKT",0,-INDEX(Data!$B$22:$G$22,MATCH($E57,Data!$B$9:$G$9,0)))),0)</f>
        <v>0</v>
      </c>
      <c r="Z57" s="88">
        <f t="shared" si="15"/>
        <v>0</v>
      </c>
      <c r="AA57" s="77">
        <f t="shared" si="16"/>
        <v>0</v>
      </c>
      <c r="AB57" s="116">
        <f t="shared" si="8"/>
        <v>0</v>
      </c>
      <c r="AC57" s="97">
        <f t="shared" si="9"/>
        <v>0</v>
      </c>
      <c r="AD57" s="100">
        <f t="shared" si="17"/>
        <v>0</v>
      </c>
      <c r="AE57" s="116">
        <f t="shared" si="10"/>
        <v>0</v>
      </c>
      <c r="AF57" s="371" t="str">
        <f>IFERROR(IF(AE57=0,"NA",
IF(G57="N",IF(OR(J57="PBV",J57="HCV",(AC57-Y57)&lt;=(INDEX(Data!$C$29:$J$46,MATCH('Rent Roll'!$K57,Data!$B$29:$B$46,0),MATCH($M57,Data!$C$28:$J$28,0))/12*0.3)),"Y","N"),
IF(OR(J57="PBV",J57="HCV",AND((AC57/R57-1)&lt;=0.05,(AC57-Y57)&lt;=(N57/12*0.3))),"Y","N"))),"NA")</f>
        <v>NA</v>
      </c>
    </row>
    <row r="58" spans="2:32" x14ac:dyDescent="0.3">
      <c r="B58" s="271">
        <v>35</v>
      </c>
      <c r="C58" s="268" t="s">
        <v>130</v>
      </c>
      <c r="D58" s="212"/>
      <c r="E58" s="213" t="s">
        <v>131</v>
      </c>
      <c r="F58" s="214">
        <v>0</v>
      </c>
      <c r="G58" s="280" t="s">
        <v>132</v>
      </c>
      <c r="H58" s="287">
        <v>0</v>
      </c>
      <c r="I58" s="292">
        <f t="shared" si="11"/>
        <v>0</v>
      </c>
      <c r="J58" s="297" t="s">
        <v>131</v>
      </c>
      <c r="K58" s="282" t="s">
        <v>131</v>
      </c>
      <c r="L58" s="219" t="s">
        <v>131</v>
      </c>
      <c r="M58" s="337" t="s">
        <v>131</v>
      </c>
      <c r="N58" s="332">
        <v>0</v>
      </c>
      <c r="O58" s="337" t="s">
        <v>131</v>
      </c>
      <c r="P58" s="363" t="str">
        <f>IFERROR(INDEX(Data!$B$28:$B$46,MATCH('Rent Roll'!$N58,INDEX(Data!$B$28:$J$46,,MATCH('Rent Roll'!$O58,Data!$B$28:$J$28,0)),-1),1),"NA")</f>
        <v>NA</v>
      </c>
      <c r="Q58" s="280" t="s">
        <v>132</v>
      </c>
      <c r="R58" s="217">
        <v>0</v>
      </c>
      <c r="S58" s="77">
        <f t="shared" si="12"/>
        <v>0</v>
      </c>
      <c r="T58" s="116">
        <f t="shared" si="13"/>
        <v>0</v>
      </c>
      <c r="U58" s="217">
        <v>0</v>
      </c>
      <c r="V58" s="77">
        <f t="shared" si="14"/>
        <v>0</v>
      </c>
      <c r="W58" s="116">
        <f t="shared" si="7"/>
        <v>0</v>
      </c>
      <c r="X58" s="84">
        <f>IFERROR(IF(INDEX(AC$13:AC$17,MATCH($E58,$AB$13:$AB$17,0))&lt;&gt;0,INDEX(AC$13:AC$17,MATCH($E58,$AB$13:$AB$17,0)),
IF($N58="MKT",0,IF($L58="HUD FMR",INDEX(Data!$B$21:$G$21,MATCH($E58,Data!$B$9:$G$9,0))*$N58,INDEX(Data!$B$9:$G$22,MATCH($K58,Data!$B$9:$B$22,0),MATCH($E58,Data!$B$9:$G$9,0))))),0)</f>
        <v>0</v>
      </c>
      <c r="Y58" s="84">
        <f>IFERROR(IF(INDEX(AD$13:AD$17,MATCH($E58,$AB$13:$AB$17,0))&lt;&gt;0,INDEX(AD$13:AD$17,MATCH($E58,$AB$13:$AB$17,0)),
IF($K58="MKT",0,-INDEX(Data!$B$22:$G$22,MATCH($E58,Data!$B$9:$G$9,0)))),0)</f>
        <v>0</v>
      </c>
      <c r="Z58" s="88">
        <f t="shared" si="15"/>
        <v>0</v>
      </c>
      <c r="AA58" s="77">
        <f t="shared" si="16"/>
        <v>0</v>
      </c>
      <c r="AB58" s="116">
        <f t="shared" si="8"/>
        <v>0</v>
      </c>
      <c r="AC58" s="97">
        <f t="shared" si="9"/>
        <v>0</v>
      </c>
      <c r="AD58" s="100">
        <f t="shared" si="17"/>
        <v>0</v>
      </c>
      <c r="AE58" s="116">
        <f t="shared" si="10"/>
        <v>0</v>
      </c>
      <c r="AF58" s="371" t="str">
        <f>IFERROR(IF(AE58=0,"NA",
IF(G58="N",IF(OR(J58="PBV",J58="HCV",(AC58-Y58)&lt;=(INDEX(Data!$C$29:$J$46,MATCH('Rent Roll'!$K58,Data!$B$29:$B$46,0),MATCH($M58,Data!$C$28:$J$28,0))/12*0.3)),"Y","N"),
IF(OR(J58="PBV",J58="HCV",AND((AC58/R58-1)&lt;=0.05,(AC58-Y58)&lt;=(N58/12*0.3))),"Y","N"))),"NA")</f>
        <v>NA</v>
      </c>
    </row>
    <row r="59" spans="2:32" x14ac:dyDescent="0.3">
      <c r="B59" s="271">
        <v>36</v>
      </c>
      <c r="C59" s="268" t="s">
        <v>130</v>
      </c>
      <c r="D59" s="212"/>
      <c r="E59" s="213" t="s">
        <v>131</v>
      </c>
      <c r="F59" s="214">
        <v>0</v>
      </c>
      <c r="G59" s="280" t="s">
        <v>132</v>
      </c>
      <c r="H59" s="287">
        <v>0</v>
      </c>
      <c r="I59" s="292">
        <f t="shared" si="11"/>
        <v>0</v>
      </c>
      <c r="J59" s="297" t="s">
        <v>131</v>
      </c>
      <c r="K59" s="282" t="s">
        <v>131</v>
      </c>
      <c r="L59" s="219" t="s">
        <v>131</v>
      </c>
      <c r="M59" s="337" t="s">
        <v>131</v>
      </c>
      <c r="N59" s="332">
        <v>0</v>
      </c>
      <c r="O59" s="337" t="s">
        <v>131</v>
      </c>
      <c r="P59" s="363" t="str">
        <f>IFERROR(INDEX(Data!$B$28:$B$46,MATCH('Rent Roll'!$N59,INDEX(Data!$B$28:$J$46,,MATCH('Rent Roll'!$O59,Data!$B$28:$J$28,0)),-1),1),"NA")</f>
        <v>NA</v>
      </c>
      <c r="Q59" s="280" t="s">
        <v>132</v>
      </c>
      <c r="R59" s="217">
        <v>0</v>
      </c>
      <c r="S59" s="77">
        <f t="shared" si="12"/>
        <v>0</v>
      </c>
      <c r="T59" s="116">
        <f t="shared" si="13"/>
        <v>0</v>
      </c>
      <c r="U59" s="217">
        <v>0</v>
      </c>
      <c r="V59" s="77">
        <f t="shared" si="14"/>
        <v>0</v>
      </c>
      <c r="W59" s="116">
        <f t="shared" si="7"/>
        <v>0</v>
      </c>
      <c r="X59" s="84">
        <f>IFERROR(IF(INDEX(AC$13:AC$17,MATCH($E59,$AB$13:$AB$17,0))&lt;&gt;0,INDEX(AC$13:AC$17,MATCH($E59,$AB$13:$AB$17,0)),
IF($N59="MKT",0,IF($L59="HUD FMR",INDEX(Data!$B$21:$G$21,MATCH($E59,Data!$B$9:$G$9,0))*$N59,INDEX(Data!$B$9:$G$22,MATCH($K59,Data!$B$9:$B$22,0),MATCH($E59,Data!$B$9:$G$9,0))))),0)</f>
        <v>0</v>
      </c>
      <c r="Y59" s="84">
        <f>IFERROR(IF(INDEX(AD$13:AD$17,MATCH($E59,$AB$13:$AB$17,0))&lt;&gt;0,INDEX(AD$13:AD$17,MATCH($E59,$AB$13:$AB$17,0)),
IF($K59="MKT",0,-INDEX(Data!$B$22:$G$22,MATCH($E59,Data!$B$9:$G$9,0)))),0)</f>
        <v>0</v>
      </c>
      <c r="Z59" s="88">
        <f t="shared" si="15"/>
        <v>0</v>
      </c>
      <c r="AA59" s="77">
        <f t="shared" si="16"/>
        <v>0</v>
      </c>
      <c r="AB59" s="116">
        <f t="shared" si="8"/>
        <v>0</v>
      </c>
      <c r="AC59" s="97">
        <f t="shared" si="9"/>
        <v>0</v>
      </c>
      <c r="AD59" s="100">
        <f t="shared" si="17"/>
        <v>0</v>
      </c>
      <c r="AE59" s="116">
        <f t="shared" si="10"/>
        <v>0</v>
      </c>
      <c r="AF59" s="371" t="str">
        <f>IFERROR(IF(AE59=0,"NA",
IF(G59="N",IF(OR(J59="PBV",J59="HCV",(AC59-Y59)&lt;=(INDEX(Data!$C$29:$J$46,MATCH('Rent Roll'!$K59,Data!$B$29:$B$46,0),MATCH($M59,Data!$C$28:$J$28,0))/12*0.3)),"Y","N"),
IF(OR(J59="PBV",J59="HCV",AND((AC59/R59-1)&lt;=0.05,(AC59-Y59)&lt;=(N59/12*0.3))),"Y","N"))),"NA")</f>
        <v>NA</v>
      </c>
    </row>
    <row r="60" spans="2:32" x14ac:dyDescent="0.3">
      <c r="B60" s="271">
        <v>37</v>
      </c>
      <c r="C60" s="268" t="s">
        <v>130</v>
      </c>
      <c r="D60" s="212"/>
      <c r="E60" s="213" t="s">
        <v>131</v>
      </c>
      <c r="F60" s="214">
        <v>0</v>
      </c>
      <c r="G60" s="280" t="s">
        <v>132</v>
      </c>
      <c r="H60" s="287">
        <v>0</v>
      </c>
      <c r="I60" s="292">
        <f t="shared" si="11"/>
        <v>0</v>
      </c>
      <c r="J60" s="297" t="s">
        <v>131</v>
      </c>
      <c r="K60" s="282" t="s">
        <v>131</v>
      </c>
      <c r="L60" s="219" t="s">
        <v>131</v>
      </c>
      <c r="M60" s="337" t="s">
        <v>131</v>
      </c>
      <c r="N60" s="332">
        <v>0</v>
      </c>
      <c r="O60" s="337" t="s">
        <v>131</v>
      </c>
      <c r="P60" s="363" t="str">
        <f>IFERROR(INDEX(Data!$B$28:$B$46,MATCH('Rent Roll'!$N60,INDEX(Data!$B$28:$J$46,,MATCH('Rent Roll'!$O60,Data!$B$28:$J$28,0)),-1),1),"NA")</f>
        <v>NA</v>
      </c>
      <c r="Q60" s="280" t="s">
        <v>132</v>
      </c>
      <c r="R60" s="217">
        <v>0</v>
      </c>
      <c r="S60" s="77">
        <f t="shared" si="12"/>
        <v>0</v>
      </c>
      <c r="T60" s="116">
        <f t="shared" si="13"/>
        <v>0</v>
      </c>
      <c r="U60" s="217">
        <v>0</v>
      </c>
      <c r="V60" s="77">
        <f t="shared" si="14"/>
        <v>0</v>
      </c>
      <c r="W60" s="116">
        <f t="shared" si="7"/>
        <v>0</v>
      </c>
      <c r="X60" s="84">
        <f>IFERROR(IF(INDEX(AC$13:AC$17,MATCH($E60,$AB$13:$AB$17,0))&lt;&gt;0,INDEX(AC$13:AC$17,MATCH($E60,$AB$13:$AB$17,0)),
IF($N60="MKT",0,IF($L60="HUD FMR",INDEX(Data!$B$21:$G$21,MATCH($E60,Data!$B$9:$G$9,0))*$N60,INDEX(Data!$B$9:$G$22,MATCH($K60,Data!$B$9:$B$22,0),MATCH($E60,Data!$B$9:$G$9,0))))),0)</f>
        <v>0</v>
      </c>
      <c r="Y60" s="84">
        <f>IFERROR(IF(INDEX(AD$13:AD$17,MATCH($E60,$AB$13:$AB$17,0))&lt;&gt;0,INDEX(AD$13:AD$17,MATCH($E60,$AB$13:$AB$17,0)),
IF($K60="MKT",0,-INDEX(Data!$B$22:$G$22,MATCH($E60,Data!$B$9:$G$9,0)))),0)</f>
        <v>0</v>
      </c>
      <c r="Z60" s="88">
        <f t="shared" si="15"/>
        <v>0</v>
      </c>
      <c r="AA60" s="77">
        <f t="shared" si="16"/>
        <v>0</v>
      </c>
      <c r="AB60" s="116">
        <f t="shared" si="8"/>
        <v>0</v>
      </c>
      <c r="AC60" s="97">
        <f t="shared" si="9"/>
        <v>0</v>
      </c>
      <c r="AD60" s="100">
        <f t="shared" si="17"/>
        <v>0</v>
      </c>
      <c r="AE60" s="116">
        <f t="shared" si="10"/>
        <v>0</v>
      </c>
      <c r="AF60" s="371" t="str">
        <f>IFERROR(IF(AE60=0,"NA",
IF(G60="N",IF(OR(J60="PBV",J60="HCV",(AC60-Y60)&lt;=(INDEX(Data!$C$29:$J$46,MATCH('Rent Roll'!$K60,Data!$B$29:$B$46,0),MATCH($M60,Data!$C$28:$J$28,0))/12*0.3)),"Y","N"),
IF(OR(J60="PBV",J60="HCV",AND((AC60/R60-1)&lt;=0.05,(AC60-Y60)&lt;=(N60/12*0.3))),"Y","N"))),"NA")</f>
        <v>NA</v>
      </c>
    </row>
    <row r="61" spans="2:32" x14ac:dyDescent="0.3">
      <c r="B61" s="271">
        <v>38</v>
      </c>
      <c r="C61" s="268" t="s">
        <v>130</v>
      </c>
      <c r="D61" s="212"/>
      <c r="E61" s="213" t="s">
        <v>131</v>
      </c>
      <c r="F61" s="214">
        <v>0</v>
      </c>
      <c r="G61" s="280" t="s">
        <v>132</v>
      </c>
      <c r="H61" s="287">
        <v>0</v>
      </c>
      <c r="I61" s="292">
        <f t="shared" si="11"/>
        <v>0</v>
      </c>
      <c r="J61" s="297" t="s">
        <v>131</v>
      </c>
      <c r="K61" s="282" t="s">
        <v>131</v>
      </c>
      <c r="L61" s="219" t="s">
        <v>131</v>
      </c>
      <c r="M61" s="337" t="s">
        <v>131</v>
      </c>
      <c r="N61" s="332">
        <v>0</v>
      </c>
      <c r="O61" s="337" t="s">
        <v>131</v>
      </c>
      <c r="P61" s="363" t="str">
        <f>IFERROR(INDEX(Data!$B$28:$B$46,MATCH('Rent Roll'!$N61,INDEX(Data!$B$28:$J$46,,MATCH('Rent Roll'!$O61,Data!$B$28:$J$28,0)),-1),1),"NA")</f>
        <v>NA</v>
      </c>
      <c r="Q61" s="280" t="s">
        <v>132</v>
      </c>
      <c r="R61" s="217">
        <v>0</v>
      </c>
      <c r="S61" s="77">
        <f t="shared" si="12"/>
        <v>0</v>
      </c>
      <c r="T61" s="116">
        <f t="shared" si="13"/>
        <v>0</v>
      </c>
      <c r="U61" s="217">
        <v>0</v>
      </c>
      <c r="V61" s="77">
        <f t="shared" si="14"/>
        <v>0</v>
      </c>
      <c r="W61" s="116">
        <f t="shared" si="7"/>
        <v>0</v>
      </c>
      <c r="X61" s="84">
        <f>IFERROR(IF(INDEX(AC$13:AC$17,MATCH($E61,$AB$13:$AB$17,0))&lt;&gt;0,INDEX(AC$13:AC$17,MATCH($E61,$AB$13:$AB$17,0)),
IF($N61="MKT",0,IF($L61="HUD FMR",INDEX(Data!$B$21:$G$21,MATCH($E61,Data!$B$9:$G$9,0))*$N61,INDEX(Data!$B$9:$G$22,MATCH($K61,Data!$B$9:$B$22,0),MATCH($E61,Data!$B$9:$G$9,0))))),0)</f>
        <v>0</v>
      </c>
      <c r="Y61" s="84">
        <f>IFERROR(IF(INDEX(AD$13:AD$17,MATCH($E61,$AB$13:$AB$17,0))&lt;&gt;0,INDEX(AD$13:AD$17,MATCH($E61,$AB$13:$AB$17,0)),
IF($K61="MKT",0,-INDEX(Data!$B$22:$G$22,MATCH($E61,Data!$B$9:$G$9,0)))),0)</f>
        <v>0</v>
      </c>
      <c r="Z61" s="88">
        <f t="shared" si="15"/>
        <v>0</v>
      </c>
      <c r="AA61" s="77">
        <f t="shared" si="16"/>
        <v>0</v>
      </c>
      <c r="AB61" s="116">
        <f t="shared" si="8"/>
        <v>0</v>
      </c>
      <c r="AC61" s="97">
        <f t="shared" si="9"/>
        <v>0</v>
      </c>
      <c r="AD61" s="100">
        <f t="shared" si="17"/>
        <v>0</v>
      </c>
      <c r="AE61" s="116">
        <f t="shared" si="10"/>
        <v>0</v>
      </c>
      <c r="AF61" s="371" t="str">
        <f>IFERROR(IF(AE61=0,"NA",
IF(G61="N",IF(OR(J61="PBV",J61="HCV",(AC61-Y61)&lt;=(INDEX(Data!$C$29:$J$46,MATCH('Rent Roll'!$K61,Data!$B$29:$B$46,0),MATCH($M61,Data!$C$28:$J$28,0))/12*0.3)),"Y","N"),
IF(OR(J61="PBV",J61="HCV",AND((AC61/R61-1)&lt;=0.05,(AC61-Y61)&lt;=(N61/12*0.3))),"Y","N"))),"NA")</f>
        <v>NA</v>
      </c>
    </row>
    <row r="62" spans="2:32" x14ac:dyDescent="0.3">
      <c r="B62" s="271">
        <v>39</v>
      </c>
      <c r="C62" s="268" t="s">
        <v>130</v>
      </c>
      <c r="D62" s="212"/>
      <c r="E62" s="213" t="s">
        <v>131</v>
      </c>
      <c r="F62" s="214">
        <v>0</v>
      </c>
      <c r="G62" s="280" t="s">
        <v>132</v>
      </c>
      <c r="H62" s="287">
        <v>0</v>
      </c>
      <c r="I62" s="292">
        <f t="shared" si="11"/>
        <v>0</v>
      </c>
      <c r="J62" s="297" t="s">
        <v>131</v>
      </c>
      <c r="K62" s="282" t="s">
        <v>131</v>
      </c>
      <c r="L62" s="219" t="s">
        <v>131</v>
      </c>
      <c r="M62" s="337" t="s">
        <v>131</v>
      </c>
      <c r="N62" s="332">
        <v>0</v>
      </c>
      <c r="O62" s="337" t="s">
        <v>131</v>
      </c>
      <c r="P62" s="363" t="str">
        <f>IFERROR(INDEX(Data!$B$28:$B$46,MATCH('Rent Roll'!$N62,INDEX(Data!$B$28:$J$46,,MATCH('Rent Roll'!$O62,Data!$B$28:$J$28,0)),-1),1),"NA")</f>
        <v>NA</v>
      </c>
      <c r="Q62" s="280" t="s">
        <v>132</v>
      </c>
      <c r="R62" s="217">
        <v>0</v>
      </c>
      <c r="S62" s="77">
        <f t="shared" si="12"/>
        <v>0</v>
      </c>
      <c r="T62" s="116">
        <f t="shared" si="13"/>
        <v>0</v>
      </c>
      <c r="U62" s="217">
        <v>0</v>
      </c>
      <c r="V62" s="77">
        <f t="shared" si="14"/>
        <v>0</v>
      </c>
      <c r="W62" s="116">
        <f t="shared" si="7"/>
        <v>0</v>
      </c>
      <c r="X62" s="84">
        <f>IFERROR(IF(INDEX(AC$13:AC$17,MATCH($E62,$AB$13:$AB$17,0))&lt;&gt;0,INDEX(AC$13:AC$17,MATCH($E62,$AB$13:$AB$17,0)),
IF($N62="MKT",0,IF($L62="HUD FMR",INDEX(Data!$B$21:$G$21,MATCH($E62,Data!$B$9:$G$9,0))*$N62,INDEX(Data!$B$9:$G$22,MATCH($K62,Data!$B$9:$B$22,0),MATCH($E62,Data!$B$9:$G$9,0))))),0)</f>
        <v>0</v>
      </c>
      <c r="Y62" s="84">
        <f>IFERROR(IF(INDEX(AD$13:AD$17,MATCH($E62,$AB$13:$AB$17,0))&lt;&gt;0,INDEX(AD$13:AD$17,MATCH($E62,$AB$13:$AB$17,0)),
IF($K62="MKT",0,-INDEX(Data!$B$22:$G$22,MATCH($E62,Data!$B$9:$G$9,0)))),0)</f>
        <v>0</v>
      </c>
      <c r="Z62" s="88">
        <f t="shared" si="15"/>
        <v>0</v>
      </c>
      <c r="AA62" s="77">
        <f t="shared" si="16"/>
        <v>0</v>
      </c>
      <c r="AB62" s="116">
        <f t="shared" si="8"/>
        <v>0</v>
      </c>
      <c r="AC62" s="97">
        <f t="shared" si="9"/>
        <v>0</v>
      </c>
      <c r="AD62" s="100">
        <f t="shared" si="17"/>
        <v>0</v>
      </c>
      <c r="AE62" s="116">
        <f t="shared" si="10"/>
        <v>0</v>
      </c>
      <c r="AF62" s="371" t="str">
        <f>IFERROR(IF(AE62=0,"NA",
IF(G62="N",IF(OR(J62="PBV",J62="HCV",(AC62-Y62)&lt;=(INDEX(Data!$C$29:$J$46,MATCH('Rent Roll'!$K62,Data!$B$29:$B$46,0),MATCH($M62,Data!$C$28:$J$28,0))/12*0.3)),"Y","N"),
IF(OR(J62="PBV",J62="HCV",AND((AC62/R62-1)&lt;=0.05,(AC62-Y62)&lt;=(N62/12*0.3))),"Y","N"))),"NA")</f>
        <v>NA</v>
      </c>
    </row>
    <row r="63" spans="2:32" x14ac:dyDescent="0.3">
      <c r="B63" s="271">
        <v>40</v>
      </c>
      <c r="C63" s="268" t="s">
        <v>130</v>
      </c>
      <c r="D63" s="212"/>
      <c r="E63" s="213" t="s">
        <v>131</v>
      </c>
      <c r="F63" s="214">
        <v>0</v>
      </c>
      <c r="G63" s="280" t="s">
        <v>132</v>
      </c>
      <c r="H63" s="287">
        <v>0</v>
      </c>
      <c r="I63" s="292">
        <f t="shared" si="11"/>
        <v>0</v>
      </c>
      <c r="J63" s="297" t="s">
        <v>131</v>
      </c>
      <c r="K63" s="282" t="s">
        <v>131</v>
      </c>
      <c r="L63" s="219" t="s">
        <v>131</v>
      </c>
      <c r="M63" s="337" t="s">
        <v>131</v>
      </c>
      <c r="N63" s="332">
        <v>0</v>
      </c>
      <c r="O63" s="337" t="s">
        <v>131</v>
      </c>
      <c r="P63" s="363" t="str">
        <f>IFERROR(INDEX(Data!$B$28:$B$46,MATCH('Rent Roll'!$N63,INDEX(Data!$B$28:$J$46,,MATCH('Rent Roll'!$O63,Data!$B$28:$J$28,0)),-1),1),"NA")</f>
        <v>NA</v>
      </c>
      <c r="Q63" s="280" t="s">
        <v>132</v>
      </c>
      <c r="R63" s="217">
        <v>0</v>
      </c>
      <c r="S63" s="77">
        <f t="shared" si="12"/>
        <v>0</v>
      </c>
      <c r="T63" s="116">
        <f t="shared" si="13"/>
        <v>0</v>
      </c>
      <c r="U63" s="217">
        <v>0</v>
      </c>
      <c r="V63" s="77">
        <f t="shared" si="14"/>
        <v>0</v>
      </c>
      <c r="W63" s="116">
        <f t="shared" si="7"/>
        <v>0</v>
      </c>
      <c r="X63" s="84">
        <f>IFERROR(IF(INDEX(AC$13:AC$17,MATCH($E63,$AB$13:$AB$17,0))&lt;&gt;0,INDEX(AC$13:AC$17,MATCH($E63,$AB$13:$AB$17,0)),
IF($N63="MKT",0,IF($L63="HUD FMR",INDEX(Data!$B$21:$G$21,MATCH($E63,Data!$B$9:$G$9,0))*$N63,INDEX(Data!$B$9:$G$22,MATCH($K63,Data!$B$9:$B$22,0),MATCH($E63,Data!$B$9:$G$9,0))))),0)</f>
        <v>0</v>
      </c>
      <c r="Y63" s="84">
        <f>IFERROR(IF(INDEX(AD$13:AD$17,MATCH($E63,$AB$13:$AB$17,0))&lt;&gt;0,INDEX(AD$13:AD$17,MATCH($E63,$AB$13:$AB$17,0)),
IF($K63="MKT",0,-INDEX(Data!$B$22:$G$22,MATCH($E63,Data!$B$9:$G$9,0)))),0)</f>
        <v>0</v>
      </c>
      <c r="Z63" s="88">
        <f t="shared" si="15"/>
        <v>0</v>
      </c>
      <c r="AA63" s="77">
        <f t="shared" si="16"/>
        <v>0</v>
      </c>
      <c r="AB63" s="116">
        <f t="shared" si="8"/>
        <v>0</v>
      </c>
      <c r="AC63" s="97">
        <f t="shared" si="9"/>
        <v>0</v>
      </c>
      <c r="AD63" s="100">
        <f t="shared" si="17"/>
        <v>0</v>
      </c>
      <c r="AE63" s="116">
        <f t="shared" si="10"/>
        <v>0</v>
      </c>
      <c r="AF63" s="371" t="str">
        <f>IFERROR(IF(AE63=0,"NA",
IF(G63="N",IF(OR(J63="PBV",J63="HCV",(AC63-Y63)&lt;=(INDEX(Data!$C$29:$J$46,MATCH('Rent Roll'!$K63,Data!$B$29:$B$46,0),MATCH($M63,Data!$C$28:$J$28,0))/12*0.3)),"Y","N"),
IF(OR(J63="PBV",J63="HCV",AND((AC63/R63-1)&lt;=0.05,(AC63-Y63)&lt;=(N63/12*0.3))),"Y","N"))),"NA")</f>
        <v>NA</v>
      </c>
    </row>
    <row r="64" spans="2:32" x14ac:dyDescent="0.3">
      <c r="B64" s="271">
        <v>41</v>
      </c>
      <c r="C64" s="268" t="s">
        <v>130</v>
      </c>
      <c r="D64" s="212"/>
      <c r="E64" s="213" t="s">
        <v>131</v>
      </c>
      <c r="F64" s="214">
        <v>0</v>
      </c>
      <c r="G64" s="280" t="s">
        <v>132</v>
      </c>
      <c r="H64" s="287">
        <v>0</v>
      </c>
      <c r="I64" s="292">
        <f t="shared" si="11"/>
        <v>0</v>
      </c>
      <c r="J64" s="297" t="s">
        <v>131</v>
      </c>
      <c r="K64" s="282" t="s">
        <v>131</v>
      </c>
      <c r="L64" s="219" t="s">
        <v>131</v>
      </c>
      <c r="M64" s="337" t="s">
        <v>131</v>
      </c>
      <c r="N64" s="332">
        <v>0</v>
      </c>
      <c r="O64" s="337" t="s">
        <v>131</v>
      </c>
      <c r="P64" s="363" t="str">
        <f>IFERROR(INDEX(Data!$B$28:$B$46,MATCH('Rent Roll'!$N64,INDEX(Data!$B$28:$J$46,,MATCH('Rent Roll'!$O64,Data!$B$28:$J$28,0)),-1),1),"NA")</f>
        <v>NA</v>
      </c>
      <c r="Q64" s="280" t="s">
        <v>132</v>
      </c>
      <c r="R64" s="217">
        <v>0</v>
      </c>
      <c r="S64" s="77">
        <f t="shared" si="12"/>
        <v>0</v>
      </c>
      <c r="T64" s="116">
        <f t="shared" si="13"/>
        <v>0</v>
      </c>
      <c r="U64" s="217">
        <v>0</v>
      </c>
      <c r="V64" s="77">
        <f t="shared" si="14"/>
        <v>0</v>
      </c>
      <c r="W64" s="116">
        <f t="shared" si="7"/>
        <v>0</v>
      </c>
      <c r="X64" s="84">
        <f>IFERROR(IF(INDEX(AC$13:AC$17,MATCH($E64,$AB$13:$AB$17,0))&lt;&gt;0,INDEX(AC$13:AC$17,MATCH($E64,$AB$13:$AB$17,0)),
IF($N64="MKT",0,IF($L64="HUD FMR",INDEX(Data!$B$21:$G$21,MATCH($E64,Data!$B$9:$G$9,0))*$N64,INDEX(Data!$B$9:$G$22,MATCH($K64,Data!$B$9:$B$22,0),MATCH($E64,Data!$B$9:$G$9,0))))),0)</f>
        <v>0</v>
      </c>
      <c r="Y64" s="84">
        <f>IFERROR(IF(INDEX(AD$13:AD$17,MATCH($E64,$AB$13:$AB$17,0))&lt;&gt;0,INDEX(AD$13:AD$17,MATCH($E64,$AB$13:$AB$17,0)),
IF($K64="MKT",0,-INDEX(Data!$B$22:$G$22,MATCH($E64,Data!$B$9:$G$9,0)))),0)</f>
        <v>0</v>
      </c>
      <c r="Z64" s="88">
        <f t="shared" si="15"/>
        <v>0</v>
      </c>
      <c r="AA64" s="77">
        <f t="shared" si="16"/>
        <v>0</v>
      </c>
      <c r="AB64" s="116">
        <f t="shared" si="8"/>
        <v>0</v>
      </c>
      <c r="AC64" s="97">
        <f t="shared" si="9"/>
        <v>0</v>
      </c>
      <c r="AD64" s="100">
        <f t="shared" si="17"/>
        <v>0</v>
      </c>
      <c r="AE64" s="116">
        <f t="shared" si="10"/>
        <v>0</v>
      </c>
      <c r="AF64" s="371" t="str">
        <f>IFERROR(IF(AE64=0,"NA",
IF(G64="N",IF(OR(J64="PBV",J64="HCV",(AC64-Y64)&lt;=(INDEX(Data!$C$29:$J$46,MATCH('Rent Roll'!$K64,Data!$B$29:$B$46,0),MATCH($M64,Data!$C$28:$J$28,0))/12*0.3)),"Y","N"),
IF(OR(J64="PBV",J64="HCV",AND((AC64/R64-1)&lt;=0.05,(AC64-Y64)&lt;=(N64/12*0.3))),"Y","N"))),"NA")</f>
        <v>NA</v>
      </c>
    </row>
    <row r="65" spans="2:32" x14ac:dyDescent="0.3">
      <c r="B65" s="271">
        <v>42</v>
      </c>
      <c r="C65" s="268" t="s">
        <v>130</v>
      </c>
      <c r="D65" s="212"/>
      <c r="E65" s="213" t="s">
        <v>131</v>
      </c>
      <c r="F65" s="214">
        <v>0</v>
      </c>
      <c r="G65" s="280" t="s">
        <v>132</v>
      </c>
      <c r="H65" s="287">
        <v>0</v>
      </c>
      <c r="I65" s="292">
        <f t="shared" si="11"/>
        <v>0</v>
      </c>
      <c r="J65" s="297" t="s">
        <v>131</v>
      </c>
      <c r="K65" s="282" t="s">
        <v>131</v>
      </c>
      <c r="L65" s="219" t="s">
        <v>131</v>
      </c>
      <c r="M65" s="337" t="s">
        <v>131</v>
      </c>
      <c r="N65" s="332">
        <v>0</v>
      </c>
      <c r="O65" s="337" t="s">
        <v>131</v>
      </c>
      <c r="P65" s="363" t="str">
        <f>IFERROR(INDEX(Data!$B$28:$B$46,MATCH('Rent Roll'!$N65,INDEX(Data!$B$28:$J$46,,MATCH('Rent Roll'!$O65,Data!$B$28:$J$28,0)),-1),1),"NA")</f>
        <v>NA</v>
      </c>
      <c r="Q65" s="280" t="s">
        <v>132</v>
      </c>
      <c r="R65" s="217">
        <v>0</v>
      </c>
      <c r="S65" s="77">
        <f t="shared" si="12"/>
        <v>0</v>
      </c>
      <c r="T65" s="116">
        <f t="shared" si="13"/>
        <v>0</v>
      </c>
      <c r="U65" s="217">
        <v>0</v>
      </c>
      <c r="V65" s="77">
        <f t="shared" si="14"/>
        <v>0</v>
      </c>
      <c r="W65" s="116">
        <f t="shared" si="7"/>
        <v>0</v>
      </c>
      <c r="X65" s="84">
        <f>IFERROR(IF(INDEX(AC$13:AC$17,MATCH($E65,$AB$13:$AB$17,0))&lt;&gt;0,INDEX(AC$13:AC$17,MATCH($E65,$AB$13:$AB$17,0)),
IF($N65="MKT",0,IF($L65="HUD FMR",INDEX(Data!$B$21:$G$21,MATCH($E65,Data!$B$9:$G$9,0))*$N65,INDEX(Data!$B$9:$G$22,MATCH($K65,Data!$B$9:$B$22,0),MATCH($E65,Data!$B$9:$G$9,0))))),0)</f>
        <v>0</v>
      </c>
      <c r="Y65" s="84">
        <f>IFERROR(IF(INDEX(AD$13:AD$17,MATCH($E65,$AB$13:$AB$17,0))&lt;&gt;0,INDEX(AD$13:AD$17,MATCH($E65,$AB$13:$AB$17,0)),
IF($K65="MKT",0,-INDEX(Data!$B$22:$G$22,MATCH($E65,Data!$B$9:$G$9,0)))),0)</f>
        <v>0</v>
      </c>
      <c r="Z65" s="88">
        <f t="shared" si="15"/>
        <v>0</v>
      </c>
      <c r="AA65" s="77">
        <f t="shared" si="16"/>
        <v>0</v>
      </c>
      <c r="AB65" s="116">
        <f t="shared" si="8"/>
        <v>0</v>
      </c>
      <c r="AC65" s="97">
        <f t="shared" si="9"/>
        <v>0</v>
      </c>
      <c r="AD65" s="100">
        <f t="shared" si="17"/>
        <v>0</v>
      </c>
      <c r="AE65" s="116">
        <f t="shared" si="10"/>
        <v>0</v>
      </c>
      <c r="AF65" s="371" t="str">
        <f>IFERROR(IF(AE65=0,"NA",
IF(G65="N",IF(OR(J65="PBV",J65="HCV",(AC65-Y65)&lt;=(INDEX(Data!$C$29:$J$46,MATCH('Rent Roll'!$K65,Data!$B$29:$B$46,0),MATCH($M65,Data!$C$28:$J$28,0))/12*0.3)),"Y","N"),
IF(OR(J65="PBV",J65="HCV",AND((AC65/R65-1)&lt;=0.05,(AC65-Y65)&lt;=(N65/12*0.3))),"Y","N"))),"NA")</f>
        <v>NA</v>
      </c>
    </row>
    <row r="66" spans="2:32" x14ac:dyDescent="0.3">
      <c r="B66" s="271">
        <v>43</v>
      </c>
      <c r="C66" s="268" t="s">
        <v>130</v>
      </c>
      <c r="D66" s="212"/>
      <c r="E66" s="213" t="s">
        <v>131</v>
      </c>
      <c r="F66" s="214">
        <v>0</v>
      </c>
      <c r="G66" s="280" t="s">
        <v>132</v>
      </c>
      <c r="H66" s="287">
        <v>0</v>
      </c>
      <c r="I66" s="292">
        <f t="shared" si="11"/>
        <v>0</v>
      </c>
      <c r="J66" s="297" t="s">
        <v>131</v>
      </c>
      <c r="K66" s="282" t="s">
        <v>131</v>
      </c>
      <c r="L66" s="219" t="s">
        <v>131</v>
      </c>
      <c r="M66" s="337" t="s">
        <v>131</v>
      </c>
      <c r="N66" s="332">
        <v>0</v>
      </c>
      <c r="O66" s="337" t="s">
        <v>131</v>
      </c>
      <c r="P66" s="363" t="str">
        <f>IFERROR(INDEX(Data!$B$28:$B$46,MATCH('Rent Roll'!$N66,INDEX(Data!$B$28:$J$46,,MATCH('Rent Roll'!$O66,Data!$B$28:$J$28,0)),-1),1),"NA")</f>
        <v>NA</v>
      </c>
      <c r="Q66" s="280" t="s">
        <v>132</v>
      </c>
      <c r="R66" s="217">
        <v>0</v>
      </c>
      <c r="S66" s="77">
        <f t="shared" si="12"/>
        <v>0</v>
      </c>
      <c r="T66" s="116">
        <f t="shared" si="13"/>
        <v>0</v>
      </c>
      <c r="U66" s="217">
        <v>0</v>
      </c>
      <c r="V66" s="77">
        <f t="shared" si="14"/>
        <v>0</v>
      </c>
      <c r="W66" s="116">
        <f t="shared" si="7"/>
        <v>0</v>
      </c>
      <c r="X66" s="84">
        <f>IFERROR(IF(INDEX(AC$13:AC$17,MATCH($E66,$AB$13:$AB$17,0))&lt;&gt;0,INDEX(AC$13:AC$17,MATCH($E66,$AB$13:$AB$17,0)),
IF($N66="MKT",0,IF($L66="HUD FMR",INDEX(Data!$B$21:$G$21,MATCH($E66,Data!$B$9:$G$9,0))*$N66,INDEX(Data!$B$9:$G$22,MATCH($K66,Data!$B$9:$B$22,0),MATCH($E66,Data!$B$9:$G$9,0))))),0)</f>
        <v>0</v>
      </c>
      <c r="Y66" s="84">
        <f>IFERROR(IF(INDEX(AD$13:AD$17,MATCH($E66,$AB$13:$AB$17,0))&lt;&gt;0,INDEX(AD$13:AD$17,MATCH($E66,$AB$13:$AB$17,0)),
IF($K66="MKT",0,-INDEX(Data!$B$22:$G$22,MATCH($E66,Data!$B$9:$G$9,0)))),0)</f>
        <v>0</v>
      </c>
      <c r="Z66" s="88">
        <f t="shared" si="15"/>
        <v>0</v>
      </c>
      <c r="AA66" s="77">
        <f t="shared" si="16"/>
        <v>0</v>
      </c>
      <c r="AB66" s="116">
        <f t="shared" si="8"/>
        <v>0</v>
      </c>
      <c r="AC66" s="97">
        <f t="shared" si="9"/>
        <v>0</v>
      </c>
      <c r="AD66" s="100">
        <f t="shared" si="17"/>
        <v>0</v>
      </c>
      <c r="AE66" s="116">
        <f t="shared" si="10"/>
        <v>0</v>
      </c>
      <c r="AF66" s="371" t="str">
        <f>IFERROR(IF(AE66=0,"NA",
IF(G66="N",IF(OR(J66="PBV",J66="HCV",(AC66-Y66)&lt;=(INDEX(Data!$C$29:$J$46,MATCH('Rent Roll'!$K66,Data!$B$29:$B$46,0),MATCH($M66,Data!$C$28:$J$28,0))/12*0.3)),"Y","N"),
IF(OR(J66="PBV",J66="HCV",AND((AC66/R66-1)&lt;=0.05,(AC66-Y66)&lt;=(N66/12*0.3))),"Y","N"))),"NA")</f>
        <v>NA</v>
      </c>
    </row>
    <row r="67" spans="2:32" x14ac:dyDescent="0.3">
      <c r="B67" s="271">
        <v>44</v>
      </c>
      <c r="C67" s="268" t="s">
        <v>130</v>
      </c>
      <c r="D67" s="212"/>
      <c r="E67" s="213" t="s">
        <v>131</v>
      </c>
      <c r="F67" s="214">
        <v>0</v>
      </c>
      <c r="G67" s="280" t="s">
        <v>132</v>
      </c>
      <c r="H67" s="287">
        <v>0</v>
      </c>
      <c r="I67" s="292">
        <f t="shared" si="11"/>
        <v>0</v>
      </c>
      <c r="J67" s="297" t="s">
        <v>131</v>
      </c>
      <c r="K67" s="282" t="s">
        <v>131</v>
      </c>
      <c r="L67" s="219" t="s">
        <v>131</v>
      </c>
      <c r="M67" s="337" t="s">
        <v>131</v>
      </c>
      <c r="N67" s="332">
        <v>0</v>
      </c>
      <c r="O67" s="337" t="s">
        <v>131</v>
      </c>
      <c r="P67" s="363" t="str">
        <f>IFERROR(INDEX(Data!$B$28:$B$46,MATCH('Rent Roll'!$N67,INDEX(Data!$B$28:$J$46,,MATCH('Rent Roll'!$O67,Data!$B$28:$J$28,0)),-1),1),"NA")</f>
        <v>NA</v>
      </c>
      <c r="Q67" s="280" t="s">
        <v>132</v>
      </c>
      <c r="R67" s="217">
        <v>0</v>
      </c>
      <c r="S67" s="77">
        <f t="shared" si="12"/>
        <v>0</v>
      </c>
      <c r="T67" s="116">
        <f t="shared" si="13"/>
        <v>0</v>
      </c>
      <c r="U67" s="217">
        <v>0</v>
      </c>
      <c r="V67" s="77">
        <f t="shared" si="14"/>
        <v>0</v>
      </c>
      <c r="W67" s="116">
        <f t="shared" si="7"/>
        <v>0</v>
      </c>
      <c r="X67" s="84">
        <f>IFERROR(IF(INDEX(AC$13:AC$17,MATCH($E67,$AB$13:$AB$17,0))&lt;&gt;0,INDEX(AC$13:AC$17,MATCH($E67,$AB$13:$AB$17,0)),
IF($N67="MKT",0,IF($L67="HUD FMR",INDEX(Data!$B$21:$G$21,MATCH($E67,Data!$B$9:$G$9,0))*$N67,INDEX(Data!$B$9:$G$22,MATCH($K67,Data!$B$9:$B$22,0),MATCH($E67,Data!$B$9:$G$9,0))))),0)</f>
        <v>0</v>
      </c>
      <c r="Y67" s="84">
        <f>IFERROR(IF(INDEX(AD$13:AD$17,MATCH($E67,$AB$13:$AB$17,0))&lt;&gt;0,INDEX(AD$13:AD$17,MATCH($E67,$AB$13:$AB$17,0)),
IF($K67="MKT",0,-INDEX(Data!$B$22:$G$22,MATCH($E67,Data!$B$9:$G$9,0)))),0)</f>
        <v>0</v>
      </c>
      <c r="Z67" s="88">
        <f t="shared" si="15"/>
        <v>0</v>
      </c>
      <c r="AA67" s="77">
        <f t="shared" si="16"/>
        <v>0</v>
      </c>
      <c r="AB67" s="116">
        <f t="shared" si="8"/>
        <v>0</v>
      </c>
      <c r="AC67" s="97">
        <f t="shared" si="9"/>
        <v>0</v>
      </c>
      <c r="AD67" s="100">
        <f t="shared" si="17"/>
        <v>0</v>
      </c>
      <c r="AE67" s="116">
        <f t="shared" si="10"/>
        <v>0</v>
      </c>
      <c r="AF67" s="371" t="str">
        <f>IFERROR(IF(AE67=0,"NA",
IF(G67="N",IF(OR(J67="PBV",J67="HCV",(AC67-Y67)&lt;=(INDEX(Data!$C$29:$J$46,MATCH('Rent Roll'!$K67,Data!$B$29:$B$46,0),MATCH($M67,Data!$C$28:$J$28,0))/12*0.3)),"Y","N"),
IF(OR(J67="PBV",J67="HCV",AND((AC67/R67-1)&lt;=0.05,(AC67-Y67)&lt;=(N67/12*0.3))),"Y","N"))),"NA")</f>
        <v>NA</v>
      </c>
    </row>
    <row r="68" spans="2:32" x14ac:dyDescent="0.3">
      <c r="B68" s="271">
        <v>45</v>
      </c>
      <c r="C68" s="268" t="s">
        <v>130</v>
      </c>
      <c r="D68" s="212"/>
      <c r="E68" s="213" t="s">
        <v>131</v>
      </c>
      <c r="F68" s="214">
        <v>0</v>
      </c>
      <c r="G68" s="280" t="s">
        <v>132</v>
      </c>
      <c r="H68" s="287">
        <v>0</v>
      </c>
      <c r="I68" s="292">
        <f t="shared" si="11"/>
        <v>0</v>
      </c>
      <c r="J68" s="297" t="s">
        <v>131</v>
      </c>
      <c r="K68" s="282" t="s">
        <v>131</v>
      </c>
      <c r="L68" s="219" t="s">
        <v>131</v>
      </c>
      <c r="M68" s="337" t="s">
        <v>131</v>
      </c>
      <c r="N68" s="332">
        <v>0</v>
      </c>
      <c r="O68" s="337" t="s">
        <v>131</v>
      </c>
      <c r="P68" s="363" t="str">
        <f>IFERROR(INDEX(Data!$B$28:$B$46,MATCH('Rent Roll'!$N68,INDEX(Data!$B$28:$J$46,,MATCH('Rent Roll'!$O68,Data!$B$28:$J$28,0)),-1),1),"NA")</f>
        <v>NA</v>
      </c>
      <c r="Q68" s="280" t="s">
        <v>132</v>
      </c>
      <c r="R68" s="217">
        <v>0</v>
      </c>
      <c r="S68" s="77">
        <f t="shared" si="12"/>
        <v>0</v>
      </c>
      <c r="T68" s="116">
        <f t="shared" si="13"/>
        <v>0</v>
      </c>
      <c r="U68" s="217">
        <v>0</v>
      </c>
      <c r="V68" s="77">
        <f t="shared" si="14"/>
        <v>0</v>
      </c>
      <c r="W68" s="116">
        <f t="shared" si="7"/>
        <v>0</v>
      </c>
      <c r="X68" s="84">
        <f>IFERROR(IF(INDEX(AC$13:AC$17,MATCH($E68,$AB$13:$AB$17,0))&lt;&gt;0,INDEX(AC$13:AC$17,MATCH($E68,$AB$13:$AB$17,0)),
IF($N68="MKT",0,IF($L68="HUD FMR",INDEX(Data!$B$21:$G$21,MATCH($E68,Data!$B$9:$G$9,0))*$N68,INDEX(Data!$B$9:$G$22,MATCH($K68,Data!$B$9:$B$22,0),MATCH($E68,Data!$B$9:$G$9,0))))),0)</f>
        <v>0</v>
      </c>
      <c r="Y68" s="84">
        <f>IFERROR(IF(INDEX(AD$13:AD$17,MATCH($E68,$AB$13:$AB$17,0))&lt;&gt;0,INDEX(AD$13:AD$17,MATCH($E68,$AB$13:$AB$17,0)),
IF($K68="MKT",0,-INDEX(Data!$B$22:$G$22,MATCH($E68,Data!$B$9:$G$9,0)))),0)</f>
        <v>0</v>
      </c>
      <c r="Z68" s="88">
        <f t="shared" si="15"/>
        <v>0</v>
      </c>
      <c r="AA68" s="77">
        <f t="shared" si="16"/>
        <v>0</v>
      </c>
      <c r="AB68" s="116">
        <f t="shared" si="8"/>
        <v>0</v>
      </c>
      <c r="AC68" s="97">
        <f t="shared" si="9"/>
        <v>0</v>
      </c>
      <c r="AD68" s="100">
        <f t="shared" si="17"/>
        <v>0</v>
      </c>
      <c r="AE68" s="116">
        <f t="shared" si="10"/>
        <v>0</v>
      </c>
      <c r="AF68" s="371" t="str">
        <f>IFERROR(IF(AE68=0,"NA",
IF(G68="N",IF(OR(J68="PBV",J68="HCV",(AC68-Y68)&lt;=(INDEX(Data!$C$29:$J$46,MATCH('Rent Roll'!$K68,Data!$B$29:$B$46,0),MATCH($M68,Data!$C$28:$J$28,0))/12*0.3)),"Y","N"),
IF(OR(J68="PBV",J68="HCV",AND((AC68/R68-1)&lt;=0.05,(AC68-Y68)&lt;=(N68/12*0.3))),"Y","N"))),"NA")</f>
        <v>NA</v>
      </c>
    </row>
    <row r="69" spans="2:32" x14ac:dyDescent="0.3">
      <c r="B69" s="271">
        <v>46</v>
      </c>
      <c r="C69" s="268" t="s">
        <v>130</v>
      </c>
      <c r="D69" s="212"/>
      <c r="E69" s="213" t="s">
        <v>131</v>
      </c>
      <c r="F69" s="214">
        <v>0</v>
      </c>
      <c r="G69" s="280" t="s">
        <v>132</v>
      </c>
      <c r="H69" s="287">
        <v>0</v>
      </c>
      <c r="I69" s="292">
        <f t="shared" si="11"/>
        <v>0</v>
      </c>
      <c r="J69" s="297" t="s">
        <v>131</v>
      </c>
      <c r="K69" s="282" t="s">
        <v>131</v>
      </c>
      <c r="L69" s="219" t="s">
        <v>131</v>
      </c>
      <c r="M69" s="337" t="s">
        <v>131</v>
      </c>
      <c r="N69" s="332">
        <v>0</v>
      </c>
      <c r="O69" s="337" t="s">
        <v>131</v>
      </c>
      <c r="P69" s="363" t="str">
        <f>IFERROR(INDEX(Data!$B$28:$B$46,MATCH('Rent Roll'!$N69,INDEX(Data!$B$28:$J$46,,MATCH('Rent Roll'!$O69,Data!$B$28:$J$28,0)),-1),1),"NA")</f>
        <v>NA</v>
      </c>
      <c r="Q69" s="280" t="s">
        <v>132</v>
      </c>
      <c r="R69" s="217">
        <v>0</v>
      </c>
      <c r="S69" s="77">
        <f t="shared" si="12"/>
        <v>0</v>
      </c>
      <c r="T69" s="116">
        <f t="shared" si="13"/>
        <v>0</v>
      </c>
      <c r="U69" s="217">
        <v>0</v>
      </c>
      <c r="V69" s="77">
        <f t="shared" si="14"/>
        <v>0</v>
      </c>
      <c r="W69" s="116">
        <f t="shared" si="7"/>
        <v>0</v>
      </c>
      <c r="X69" s="84">
        <f>IFERROR(IF(INDEX(AC$13:AC$17,MATCH($E69,$AB$13:$AB$17,0))&lt;&gt;0,INDEX(AC$13:AC$17,MATCH($E69,$AB$13:$AB$17,0)),
IF($N69="MKT",0,IF($L69="HUD FMR",INDEX(Data!$B$21:$G$21,MATCH($E69,Data!$B$9:$G$9,0))*$N69,INDEX(Data!$B$9:$G$22,MATCH($K69,Data!$B$9:$B$22,0),MATCH($E69,Data!$B$9:$G$9,0))))),0)</f>
        <v>0</v>
      </c>
      <c r="Y69" s="84">
        <f>IFERROR(IF(INDEX(AD$13:AD$17,MATCH($E69,$AB$13:$AB$17,0))&lt;&gt;0,INDEX(AD$13:AD$17,MATCH($E69,$AB$13:$AB$17,0)),
IF($K69="MKT",0,-INDEX(Data!$B$22:$G$22,MATCH($E69,Data!$B$9:$G$9,0)))),0)</f>
        <v>0</v>
      </c>
      <c r="Z69" s="88">
        <f t="shared" si="15"/>
        <v>0</v>
      </c>
      <c r="AA69" s="77">
        <f t="shared" si="16"/>
        <v>0</v>
      </c>
      <c r="AB69" s="116">
        <f t="shared" si="8"/>
        <v>0</v>
      </c>
      <c r="AC69" s="97">
        <f t="shared" si="9"/>
        <v>0</v>
      </c>
      <c r="AD69" s="100">
        <f t="shared" si="17"/>
        <v>0</v>
      </c>
      <c r="AE69" s="116">
        <f t="shared" si="10"/>
        <v>0</v>
      </c>
      <c r="AF69" s="371" t="str">
        <f>IFERROR(IF(AE69=0,"NA",
IF(G69="N",IF(OR(J69="PBV",J69="HCV",(AC69-Y69)&lt;=(INDEX(Data!$C$29:$J$46,MATCH('Rent Roll'!$K69,Data!$B$29:$B$46,0),MATCH($M69,Data!$C$28:$J$28,0))/12*0.3)),"Y","N"),
IF(OR(J69="PBV",J69="HCV",AND((AC69/R69-1)&lt;=0.05,(AC69-Y69)&lt;=(N69/12*0.3))),"Y","N"))),"NA")</f>
        <v>NA</v>
      </c>
    </row>
    <row r="70" spans="2:32" x14ac:dyDescent="0.3">
      <c r="B70" s="271">
        <v>47</v>
      </c>
      <c r="C70" s="268" t="s">
        <v>130</v>
      </c>
      <c r="D70" s="212"/>
      <c r="E70" s="213" t="s">
        <v>131</v>
      </c>
      <c r="F70" s="214">
        <v>0</v>
      </c>
      <c r="G70" s="280" t="s">
        <v>132</v>
      </c>
      <c r="H70" s="287">
        <v>0</v>
      </c>
      <c r="I70" s="292">
        <f t="shared" si="11"/>
        <v>0</v>
      </c>
      <c r="J70" s="297" t="s">
        <v>131</v>
      </c>
      <c r="K70" s="282" t="s">
        <v>131</v>
      </c>
      <c r="L70" s="219" t="s">
        <v>131</v>
      </c>
      <c r="M70" s="337" t="s">
        <v>131</v>
      </c>
      <c r="N70" s="332">
        <v>0</v>
      </c>
      <c r="O70" s="337" t="s">
        <v>131</v>
      </c>
      <c r="P70" s="363" t="str">
        <f>IFERROR(INDEX(Data!$B$28:$B$46,MATCH('Rent Roll'!$N70,INDEX(Data!$B$28:$J$46,,MATCH('Rent Roll'!$O70,Data!$B$28:$J$28,0)),-1),1),"NA")</f>
        <v>NA</v>
      </c>
      <c r="Q70" s="280" t="s">
        <v>132</v>
      </c>
      <c r="R70" s="217">
        <v>0</v>
      </c>
      <c r="S70" s="77">
        <f t="shared" si="12"/>
        <v>0</v>
      </c>
      <c r="T70" s="116">
        <f t="shared" si="13"/>
        <v>0</v>
      </c>
      <c r="U70" s="217">
        <v>0</v>
      </c>
      <c r="V70" s="77">
        <f t="shared" si="14"/>
        <v>0</v>
      </c>
      <c r="W70" s="116">
        <f t="shared" si="7"/>
        <v>0</v>
      </c>
      <c r="X70" s="84">
        <f>IFERROR(IF(INDEX(AC$13:AC$17,MATCH($E70,$AB$13:$AB$17,0))&lt;&gt;0,INDEX(AC$13:AC$17,MATCH($E70,$AB$13:$AB$17,0)),
IF($N70="MKT",0,IF($L70="HUD FMR",INDEX(Data!$B$21:$G$21,MATCH($E70,Data!$B$9:$G$9,0))*$N70,INDEX(Data!$B$9:$G$22,MATCH($K70,Data!$B$9:$B$22,0),MATCH($E70,Data!$B$9:$G$9,0))))),0)</f>
        <v>0</v>
      </c>
      <c r="Y70" s="84">
        <f>IFERROR(IF(INDEX(AD$13:AD$17,MATCH($E70,$AB$13:$AB$17,0))&lt;&gt;0,INDEX(AD$13:AD$17,MATCH($E70,$AB$13:$AB$17,0)),
IF($K70="MKT",0,-INDEX(Data!$B$22:$G$22,MATCH($E70,Data!$B$9:$G$9,0)))),0)</f>
        <v>0</v>
      </c>
      <c r="Z70" s="88">
        <f t="shared" si="15"/>
        <v>0</v>
      </c>
      <c r="AA70" s="77">
        <f t="shared" si="16"/>
        <v>0</v>
      </c>
      <c r="AB70" s="116">
        <f t="shared" si="8"/>
        <v>0</v>
      </c>
      <c r="AC70" s="97">
        <f t="shared" si="9"/>
        <v>0</v>
      </c>
      <c r="AD70" s="100">
        <f t="shared" si="17"/>
        <v>0</v>
      </c>
      <c r="AE70" s="116">
        <f t="shared" si="10"/>
        <v>0</v>
      </c>
      <c r="AF70" s="371" t="str">
        <f>IFERROR(IF(AE70=0,"NA",
IF(G70="N",IF(OR(J70="PBV",J70="HCV",(AC70-Y70)&lt;=(INDEX(Data!$C$29:$J$46,MATCH('Rent Roll'!$K70,Data!$B$29:$B$46,0),MATCH($M70,Data!$C$28:$J$28,0))/12*0.3)),"Y","N"),
IF(OR(J70="PBV",J70="HCV",AND((AC70/R70-1)&lt;=0.05,(AC70-Y70)&lt;=(N70/12*0.3))),"Y","N"))),"NA")</f>
        <v>NA</v>
      </c>
    </row>
    <row r="71" spans="2:32" x14ac:dyDescent="0.3">
      <c r="B71" s="271">
        <v>48</v>
      </c>
      <c r="C71" s="268" t="s">
        <v>130</v>
      </c>
      <c r="D71" s="212"/>
      <c r="E71" s="213" t="s">
        <v>131</v>
      </c>
      <c r="F71" s="214">
        <v>0</v>
      </c>
      <c r="G71" s="280" t="s">
        <v>132</v>
      </c>
      <c r="H71" s="287">
        <v>0</v>
      </c>
      <c r="I71" s="292">
        <f t="shared" si="11"/>
        <v>0</v>
      </c>
      <c r="J71" s="297" t="s">
        <v>131</v>
      </c>
      <c r="K71" s="282" t="s">
        <v>131</v>
      </c>
      <c r="L71" s="219" t="s">
        <v>131</v>
      </c>
      <c r="M71" s="337" t="s">
        <v>131</v>
      </c>
      <c r="N71" s="332">
        <v>0</v>
      </c>
      <c r="O71" s="337" t="s">
        <v>131</v>
      </c>
      <c r="P71" s="363" t="str">
        <f>IFERROR(INDEX(Data!$B$28:$B$46,MATCH('Rent Roll'!$N71,INDEX(Data!$B$28:$J$46,,MATCH('Rent Roll'!$O71,Data!$B$28:$J$28,0)),-1),1),"NA")</f>
        <v>NA</v>
      </c>
      <c r="Q71" s="280" t="s">
        <v>132</v>
      </c>
      <c r="R71" s="217">
        <v>0</v>
      </c>
      <c r="S71" s="77">
        <f t="shared" si="12"/>
        <v>0</v>
      </c>
      <c r="T71" s="116">
        <f t="shared" si="13"/>
        <v>0</v>
      </c>
      <c r="U71" s="217">
        <v>0</v>
      </c>
      <c r="V71" s="77">
        <f t="shared" si="14"/>
        <v>0</v>
      </c>
      <c r="W71" s="116">
        <f t="shared" si="7"/>
        <v>0</v>
      </c>
      <c r="X71" s="84">
        <f>IFERROR(IF(INDEX(AC$13:AC$17,MATCH($E71,$AB$13:$AB$17,0))&lt;&gt;0,INDEX(AC$13:AC$17,MATCH($E71,$AB$13:$AB$17,0)),
IF($N71="MKT",0,IF($L71="HUD FMR",INDEX(Data!$B$21:$G$21,MATCH($E71,Data!$B$9:$G$9,0))*$N71,INDEX(Data!$B$9:$G$22,MATCH($K71,Data!$B$9:$B$22,0),MATCH($E71,Data!$B$9:$G$9,0))))),0)</f>
        <v>0</v>
      </c>
      <c r="Y71" s="84">
        <f>IFERROR(IF(INDEX(AD$13:AD$17,MATCH($E71,$AB$13:$AB$17,0))&lt;&gt;0,INDEX(AD$13:AD$17,MATCH($E71,$AB$13:$AB$17,0)),
IF($K71="MKT",0,-INDEX(Data!$B$22:$G$22,MATCH($E71,Data!$B$9:$G$9,0)))),0)</f>
        <v>0</v>
      </c>
      <c r="Z71" s="88">
        <f t="shared" si="15"/>
        <v>0</v>
      </c>
      <c r="AA71" s="77">
        <f t="shared" si="16"/>
        <v>0</v>
      </c>
      <c r="AB71" s="116">
        <f t="shared" si="8"/>
        <v>0</v>
      </c>
      <c r="AC71" s="97">
        <f t="shared" si="9"/>
        <v>0</v>
      </c>
      <c r="AD71" s="100">
        <f t="shared" si="17"/>
        <v>0</v>
      </c>
      <c r="AE71" s="116">
        <f t="shared" si="10"/>
        <v>0</v>
      </c>
      <c r="AF71" s="371" t="str">
        <f>IFERROR(IF(AE71=0,"NA",
IF(G71="N",IF(OR(J71="PBV",J71="HCV",(AC71-Y71)&lt;=(INDEX(Data!$C$29:$J$46,MATCH('Rent Roll'!$K71,Data!$B$29:$B$46,0),MATCH($M71,Data!$C$28:$J$28,0))/12*0.3)),"Y","N"),
IF(OR(J71="PBV",J71="HCV",AND((AC71/R71-1)&lt;=0.05,(AC71-Y71)&lt;=(N71/12*0.3))),"Y","N"))),"NA")</f>
        <v>NA</v>
      </c>
    </row>
    <row r="72" spans="2:32" x14ac:dyDescent="0.3">
      <c r="B72" s="271">
        <v>49</v>
      </c>
      <c r="C72" s="268" t="s">
        <v>130</v>
      </c>
      <c r="D72" s="212"/>
      <c r="E72" s="213" t="s">
        <v>131</v>
      </c>
      <c r="F72" s="214">
        <v>0</v>
      </c>
      <c r="G72" s="280" t="s">
        <v>132</v>
      </c>
      <c r="H72" s="287">
        <v>0</v>
      </c>
      <c r="I72" s="292">
        <f t="shared" si="11"/>
        <v>0</v>
      </c>
      <c r="J72" s="297" t="s">
        <v>131</v>
      </c>
      <c r="K72" s="282" t="s">
        <v>131</v>
      </c>
      <c r="L72" s="219" t="s">
        <v>131</v>
      </c>
      <c r="M72" s="337" t="s">
        <v>131</v>
      </c>
      <c r="N72" s="332">
        <v>0</v>
      </c>
      <c r="O72" s="337" t="s">
        <v>131</v>
      </c>
      <c r="P72" s="363" t="str">
        <f>IFERROR(INDEX(Data!$B$28:$B$46,MATCH('Rent Roll'!$N72,INDEX(Data!$B$28:$J$46,,MATCH('Rent Roll'!$O72,Data!$B$28:$J$28,0)),-1),1),"NA")</f>
        <v>NA</v>
      </c>
      <c r="Q72" s="280" t="s">
        <v>132</v>
      </c>
      <c r="R72" s="217">
        <v>0</v>
      </c>
      <c r="S72" s="77">
        <f t="shared" si="12"/>
        <v>0</v>
      </c>
      <c r="T72" s="116">
        <f t="shared" si="13"/>
        <v>0</v>
      </c>
      <c r="U72" s="217">
        <v>0</v>
      </c>
      <c r="V72" s="77">
        <f t="shared" si="14"/>
        <v>0</v>
      </c>
      <c r="W72" s="116">
        <f t="shared" si="7"/>
        <v>0</v>
      </c>
      <c r="X72" s="84">
        <f>IFERROR(IF(INDEX(AC$13:AC$17,MATCH($E72,$AB$13:$AB$17,0))&lt;&gt;0,INDEX(AC$13:AC$17,MATCH($E72,$AB$13:$AB$17,0)),
IF($N72="MKT",0,IF($L72="HUD FMR",INDEX(Data!$B$21:$G$21,MATCH($E72,Data!$B$9:$G$9,0))*$N72,INDEX(Data!$B$9:$G$22,MATCH($K72,Data!$B$9:$B$22,0),MATCH($E72,Data!$B$9:$G$9,0))))),0)</f>
        <v>0</v>
      </c>
      <c r="Y72" s="84">
        <f>IFERROR(IF(INDEX(AD$13:AD$17,MATCH($E72,$AB$13:$AB$17,0))&lt;&gt;0,INDEX(AD$13:AD$17,MATCH($E72,$AB$13:$AB$17,0)),
IF($K72="MKT",0,-INDEX(Data!$B$22:$G$22,MATCH($E72,Data!$B$9:$G$9,0)))),0)</f>
        <v>0</v>
      </c>
      <c r="Z72" s="88">
        <f t="shared" si="15"/>
        <v>0</v>
      </c>
      <c r="AA72" s="77">
        <f t="shared" si="16"/>
        <v>0</v>
      </c>
      <c r="AB72" s="116">
        <f t="shared" si="8"/>
        <v>0</v>
      </c>
      <c r="AC72" s="97">
        <f t="shared" si="9"/>
        <v>0</v>
      </c>
      <c r="AD72" s="100">
        <f t="shared" si="17"/>
        <v>0</v>
      </c>
      <c r="AE72" s="116">
        <f t="shared" si="10"/>
        <v>0</v>
      </c>
      <c r="AF72" s="371" t="str">
        <f>IFERROR(IF(AE72=0,"NA",
IF(G72="N",IF(OR(J72="PBV",J72="HCV",(AC72-Y72)&lt;=(INDEX(Data!$C$29:$J$46,MATCH('Rent Roll'!$K72,Data!$B$29:$B$46,0),MATCH($M72,Data!$C$28:$J$28,0))/12*0.3)),"Y","N"),
IF(OR(J72="PBV",J72="HCV",AND((AC72/R72-1)&lt;=0.05,(AC72-Y72)&lt;=(N72/12*0.3))),"Y","N"))),"NA")</f>
        <v>NA</v>
      </c>
    </row>
    <row r="73" spans="2:32" x14ac:dyDescent="0.3">
      <c r="B73" s="271">
        <v>50</v>
      </c>
      <c r="C73" s="268" t="s">
        <v>130</v>
      </c>
      <c r="D73" s="212"/>
      <c r="E73" s="213" t="s">
        <v>131</v>
      </c>
      <c r="F73" s="214">
        <v>0</v>
      </c>
      <c r="G73" s="280" t="s">
        <v>132</v>
      </c>
      <c r="H73" s="287">
        <v>0</v>
      </c>
      <c r="I73" s="292">
        <f t="shared" si="11"/>
        <v>0</v>
      </c>
      <c r="J73" s="297" t="s">
        <v>131</v>
      </c>
      <c r="K73" s="282" t="s">
        <v>131</v>
      </c>
      <c r="L73" s="219" t="s">
        <v>131</v>
      </c>
      <c r="M73" s="337" t="s">
        <v>131</v>
      </c>
      <c r="N73" s="332">
        <v>0</v>
      </c>
      <c r="O73" s="337" t="s">
        <v>131</v>
      </c>
      <c r="P73" s="363" t="str">
        <f>IFERROR(INDEX(Data!$B$28:$B$46,MATCH('Rent Roll'!$N73,INDEX(Data!$B$28:$J$46,,MATCH('Rent Roll'!$O73,Data!$B$28:$J$28,0)),-1),1),"NA")</f>
        <v>NA</v>
      </c>
      <c r="Q73" s="280" t="s">
        <v>132</v>
      </c>
      <c r="R73" s="217">
        <v>0</v>
      </c>
      <c r="S73" s="77">
        <f t="shared" si="12"/>
        <v>0</v>
      </c>
      <c r="T73" s="116">
        <f t="shared" si="13"/>
        <v>0</v>
      </c>
      <c r="U73" s="217">
        <v>0</v>
      </c>
      <c r="V73" s="77">
        <f t="shared" si="14"/>
        <v>0</v>
      </c>
      <c r="W73" s="116">
        <f t="shared" si="7"/>
        <v>0</v>
      </c>
      <c r="X73" s="84">
        <f>IFERROR(IF(INDEX(AC$13:AC$17,MATCH($E73,$AB$13:$AB$17,0))&lt;&gt;0,INDEX(AC$13:AC$17,MATCH($E73,$AB$13:$AB$17,0)),
IF($N73="MKT",0,IF($L73="HUD FMR",INDEX(Data!$B$21:$G$21,MATCH($E73,Data!$B$9:$G$9,0))*$N73,INDEX(Data!$B$9:$G$22,MATCH($K73,Data!$B$9:$B$22,0),MATCH($E73,Data!$B$9:$G$9,0))))),0)</f>
        <v>0</v>
      </c>
      <c r="Y73" s="84">
        <f>IFERROR(IF(INDEX(AD$13:AD$17,MATCH($E73,$AB$13:$AB$17,0))&lt;&gt;0,INDEX(AD$13:AD$17,MATCH($E73,$AB$13:$AB$17,0)),
IF($K73="MKT",0,-INDEX(Data!$B$22:$G$22,MATCH($E73,Data!$B$9:$G$9,0)))),0)</f>
        <v>0</v>
      </c>
      <c r="Z73" s="88">
        <f t="shared" si="15"/>
        <v>0</v>
      </c>
      <c r="AA73" s="77">
        <f t="shared" si="16"/>
        <v>0</v>
      </c>
      <c r="AB73" s="116">
        <f t="shared" si="8"/>
        <v>0</v>
      </c>
      <c r="AC73" s="97">
        <f t="shared" si="9"/>
        <v>0</v>
      </c>
      <c r="AD73" s="100">
        <f t="shared" si="17"/>
        <v>0</v>
      </c>
      <c r="AE73" s="116">
        <f t="shared" si="10"/>
        <v>0</v>
      </c>
      <c r="AF73" s="371" t="str">
        <f>IFERROR(IF(AE73=0,"NA",
IF(G73="N",IF(OR(J73="PBV",J73="HCV",(AC73-Y73)&lt;=(INDEX(Data!$C$29:$J$46,MATCH('Rent Roll'!$K73,Data!$B$29:$B$46,0),MATCH($M73,Data!$C$28:$J$28,0))/12*0.3)),"Y","N"),
IF(OR(J73="PBV",J73="HCV",AND((AC73/R73-1)&lt;=0.05,(AC73-Y73)&lt;=(N73/12*0.3))),"Y","N"))),"NA")</f>
        <v>NA</v>
      </c>
    </row>
    <row r="74" spans="2:32" x14ac:dyDescent="0.3">
      <c r="B74" s="271">
        <v>51</v>
      </c>
      <c r="C74" s="268" t="s">
        <v>130</v>
      </c>
      <c r="D74" s="212"/>
      <c r="E74" s="213" t="s">
        <v>131</v>
      </c>
      <c r="F74" s="214">
        <v>0</v>
      </c>
      <c r="G74" s="280" t="s">
        <v>132</v>
      </c>
      <c r="H74" s="287">
        <v>0</v>
      </c>
      <c r="I74" s="292">
        <f t="shared" si="11"/>
        <v>0</v>
      </c>
      <c r="J74" s="297" t="s">
        <v>131</v>
      </c>
      <c r="K74" s="282" t="s">
        <v>131</v>
      </c>
      <c r="L74" s="219" t="s">
        <v>131</v>
      </c>
      <c r="M74" s="337" t="s">
        <v>131</v>
      </c>
      <c r="N74" s="332">
        <v>0</v>
      </c>
      <c r="O74" s="337" t="s">
        <v>131</v>
      </c>
      <c r="P74" s="363" t="str">
        <f>IFERROR(INDEX(Data!$B$28:$B$46,MATCH('Rent Roll'!$N74,INDEX(Data!$B$28:$J$46,,MATCH('Rent Roll'!$O74,Data!$B$28:$J$28,0)),-1),1),"NA")</f>
        <v>NA</v>
      </c>
      <c r="Q74" s="280" t="s">
        <v>132</v>
      </c>
      <c r="R74" s="217">
        <v>0</v>
      </c>
      <c r="S74" s="77">
        <f t="shared" si="12"/>
        <v>0</v>
      </c>
      <c r="T74" s="116">
        <f t="shared" si="13"/>
        <v>0</v>
      </c>
      <c r="U74" s="217">
        <v>0</v>
      </c>
      <c r="V74" s="77">
        <f t="shared" si="14"/>
        <v>0</v>
      </c>
      <c r="W74" s="116">
        <f t="shared" si="7"/>
        <v>0</v>
      </c>
      <c r="X74" s="84">
        <f>IFERROR(IF(INDEX(AC$13:AC$17,MATCH($E74,$AB$13:$AB$17,0))&lt;&gt;0,INDEX(AC$13:AC$17,MATCH($E74,$AB$13:$AB$17,0)),
IF($N74="MKT",0,IF($L74="HUD FMR",INDEX(Data!$B$21:$G$21,MATCH($E74,Data!$B$9:$G$9,0))*$N74,INDEX(Data!$B$9:$G$22,MATCH($K74,Data!$B$9:$B$22,0),MATCH($E74,Data!$B$9:$G$9,0))))),0)</f>
        <v>0</v>
      </c>
      <c r="Y74" s="84">
        <f>IFERROR(IF(INDEX(AD$13:AD$17,MATCH($E74,$AB$13:$AB$17,0))&lt;&gt;0,INDEX(AD$13:AD$17,MATCH($E74,$AB$13:$AB$17,0)),
IF($K74="MKT",0,-INDEX(Data!$B$22:$G$22,MATCH($E74,Data!$B$9:$G$9,0)))),0)</f>
        <v>0</v>
      </c>
      <c r="Z74" s="88">
        <f t="shared" si="15"/>
        <v>0</v>
      </c>
      <c r="AA74" s="77">
        <f t="shared" si="16"/>
        <v>0</v>
      </c>
      <c r="AB74" s="116">
        <f t="shared" si="8"/>
        <v>0</v>
      </c>
      <c r="AC74" s="97">
        <f t="shared" si="9"/>
        <v>0</v>
      </c>
      <c r="AD74" s="100">
        <f t="shared" si="17"/>
        <v>0</v>
      </c>
      <c r="AE74" s="116">
        <f t="shared" si="10"/>
        <v>0</v>
      </c>
      <c r="AF74" s="371" t="str">
        <f>IFERROR(IF(AE74=0,"NA",
IF(G74="N",IF(OR(J74="PBV",J74="HCV",(AC74-Y74)&lt;=(INDEX(Data!$C$29:$J$46,MATCH('Rent Roll'!$K74,Data!$B$29:$B$46,0),MATCH($M74,Data!$C$28:$J$28,0))/12*0.3)),"Y","N"),
IF(OR(J74="PBV",J74="HCV",AND((AC74/R74-1)&lt;=0.05,(AC74-Y74)&lt;=(N74/12*0.3))),"Y","N"))),"NA")</f>
        <v>NA</v>
      </c>
    </row>
    <row r="75" spans="2:32" x14ac:dyDescent="0.3">
      <c r="B75" s="271">
        <v>52</v>
      </c>
      <c r="C75" s="268" t="s">
        <v>130</v>
      </c>
      <c r="D75" s="212"/>
      <c r="E75" s="213" t="s">
        <v>131</v>
      </c>
      <c r="F75" s="214">
        <v>0</v>
      </c>
      <c r="G75" s="280" t="s">
        <v>132</v>
      </c>
      <c r="H75" s="287">
        <v>0</v>
      </c>
      <c r="I75" s="292">
        <f t="shared" si="11"/>
        <v>0</v>
      </c>
      <c r="J75" s="297" t="s">
        <v>131</v>
      </c>
      <c r="K75" s="282" t="s">
        <v>131</v>
      </c>
      <c r="L75" s="219" t="s">
        <v>131</v>
      </c>
      <c r="M75" s="337" t="s">
        <v>131</v>
      </c>
      <c r="N75" s="332">
        <v>0</v>
      </c>
      <c r="O75" s="337" t="s">
        <v>131</v>
      </c>
      <c r="P75" s="363" t="str">
        <f>IFERROR(INDEX(Data!$B$28:$B$46,MATCH('Rent Roll'!$N75,INDEX(Data!$B$28:$J$46,,MATCH('Rent Roll'!$O75,Data!$B$28:$J$28,0)),-1),1),"NA")</f>
        <v>NA</v>
      </c>
      <c r="Q75" s="280" t="s">
        <v>132</v>
      </c>
      <c r="R75" s="217">
        <v>0</v>
      </c>
      <c r="S75" s="77">
        <f t="shared" si="12"/>
        <v>0</v>
      </c>
      <c r="T75" s="116">
        <f t="shared" si="13"/>
        <v>0</v>
      </c>
      <c r="U75" s="217">
        <v>0</v>
      </c>
      <c r="V75" s="77">
        <f t="shared" si="14"/>
        <v>0</v>
      </c>
      <c r="W75" s="116">
        <f t="shared" si="7"/>
        <v>0</v>
      </c>
      <c r="X75" s="84">
        <f>IFERROR(IF(INDEX(AC$13:AC$17,MATCH($E75,$AB$13:$AB$17,0))&lt;&gt;0,INDEX(AC$13:AC$17,MATCH($E75,$AB$13:$AB$17,0)),
IF($N75="MKT",0,IF($L75="HUD FMR",INDEX(Data!$B$21:$G$21,MATCH($E75,Data!$B$9:$G$9,0))*$N75,INDEX(Data!$B$9:$G$22,MATCH($K75,Data!$B$9:$B$22,0),MATCH($E75,Data!$B$9:$G$9,0))))),0)</f>
        <v>0</v>
      </c>
      <c r="Y75" s="84">
        <f>IFERROR(IF(INDEX(AD$13:AD$17,MATCH($E75,$AB$13:$AB$17,0))&lt;&gt;0,INDEX(AD$13:AD$17,MATCH($E75,$AB$13:$AB$17,0)),
IF($K75="MKT",0,-INDEX(Data!$B$22:$G$22,MATCH($E75,Data!$B$9:$G$9,0)))),0)</f>
        <v>0</v>
      </c>
      <c r="Z75" s="88">
        <f t="shared" si="15"/>
        <v>0</v>
      </c>
      <c r="AA75" s="77">
        <f t="shared" si="16"/>
        <v>0</v>
      </c>
      <c r="AB75" s="116">
        <f t="shared" si="8"/>
        <v>0</v>
      </c>
      <c r="AC75" s="97">
        <f t="shared" si="9"/>
        <v>0</v>
      </c>
      <c r="AD75" s="100">
        <f t="shared" si="17"/>
        <v>0</v>
      </c>
      <c r="AE75" s="116">
        <f t="shared" si="10"/>
        <v>0</v>
      </c>
      <c r="AF75" s="371" t="str">
        <f>IFERROR(IF(AE75=0,"NA",
IF(G75="N",IF(OR(J75="PBV",J75="HCV",(AC75-Y75)&lt;=(INDEX(Data!$C$29:$J$46,MATCH('Rent Roll'!$K75,Data!$B$29:$B$46,0),MATCH($M75,Data!$C$28:$J$28,0))/12*0.3)),"Y","N"),
IF(OR(J75="PBV",J75="HCV",AND((AC75/R75-1)&lt;=0.05,(AC75-Y75)&lt;=(N75/12*0.3))),"Y","N"))),"NA")</f>
        <v>NA</v>
      </c>
    </row>
    <row r="76" spans="2:32" x14ac:dyDescent="0.3">
      <c r="B76" s="271">
        <v>53</v>
      </c>
      <c r="C76" s="268" t="s">
        <v>130</v>
      </c>
      <c r="D76" s="212"/>
      <c r="E76" s="213" t="s">
        <v>131</v>
      </c>
      <c r="F76" s="214">
        <v>0</v>
      </c>
      <c r="G76" s="280" t="s">
        <v>132</v>
      </c>
      <c r="H76" s="287">
        <v>0</v>
      </c>
      <c r="I76" s="292">
        <f t="shared" si="11"/>
        <v>0</v>
      </c>
      <c r="J76" s="297" t="s">
        <v>131</v>
      </c>
      <c r="K76" s="282" t="s">
        <v>131</v>
      </c>
      <c r="L76" s="219" t="s">
        <v>131</v>
      </c>
      <c r="M76" s="337" t="s">
        <v>131</v>
      </c>
      <c r="N76" s="332">
        <v>0</v>
      </c>
      <c r="O76" s="337" t="s">
        <v>131</v>
      </c>
      <c r="P76" s="363" t="str">
        <f>IFERROR(INDEX(Data!$B$28:$B$46,MATCH('Rent Roll'!$N76,INDEX(Data!$B$28:$J$46,,MATCH('Rent Roll'!$O76,Data!$B$28:$J$28,0)),-1),1),"NA")</f>
        <v>NA</v>
      </c>
      <c r="Q76" s="280" t="s">
        <v>132</v>
      </c>
      <c r="R76" s="217">
        <v>0</v>
      </c>
      <c r="S76" s="77">
        <f t="shared" si="12"/>
        <v>0</v>
      </c>
      <c r="T76" s="116">
        <f t="shared" si="13"/>
        <v>0</v>
      </c>
      <c r="U76" s="217">
        <v>0</v>
      </c>
      <c r="V76" s="77">
        <f t="shared" si="14"/>
        <v>0</v>
      </c>
      <c r="W76" s="116">
        <f t="shared" si="7"/>
        <v>0</v>
      </c>
      <c r="X76" s="84">
        <f>IFERROR(IF(INDEX(AC$13:AC$17,MATCH($E76,$AB$13:$AB$17,0))&lt;&gt;0,INDEX(AC$13:AC$17,MATCH($E76,$AB$13:$AB$17,0)),
IF($N76="MKT",0,IF($L76="HUD FMR",INDEX(Data!$B$21:$G$21,MATCH($E76,Data!$B$9:$G$9,0))*$N76,INDEX(Data!$B$9:$G$22,MATCH($K76,Data!$B$9:$B$22,0),MATCH($E76,Data!$B$9:$G$9,0))))),0)</f>
        <v>0</v>
      </c>
      <c r="Y76" s="84">
        <f>IFERROR(IF(INDEX(AD$13:AD$17,MATCH($E76,$AB$13:$AB$17,0))&lt;&gt;0,INDEX(AD$13:AD$17,MATCH($E76,$AB$13:$AB$17,0)),
IF($K76="MKT",0,-INDEX(Data!$B$22:$G$22,MATCH($E76,Data!$B$9:$G$9,0)))),0)</f>
        <v>0</v>
      </c>
      <c r="Z76" s="88">
        <f t="shared" si="15"/>
        <v>0</v>
      </c>
      <c r="AA76" s="77">
        <f t="shared" si="16"/>
        <v>0</v>
      </c>
      <c r="AB76" s="116">
        <f t="shared" si="8"/>
        <v>0</v>
      </c>
      <c r="AC76" s="97">
        <f t="shared" si="9"/>
        <v>0</v>
      </c>
      <c r="AD76" s="100">
        <f t="shared" si="17"/>
        <v>0</v>
      </c>
      <c r="AE76" s="116">
        <f t="shared" si="10"/>
        <v>0</v>
      </c>
      <c r="AF76" s="371" t="str">
        <f>IFERROR(IF(AE76=0,"NA",
IF(G76="N",IF(OR(J76="PBV",J76="HCV",(AC76-Y76)&lt;=(INDEX(Data!$C$29:$J$46,MATCH('Rent Roll'!$K76,Data!$B$29:$B$46,0),MATCH($M76,Data!$C$28:$J$28,0))/12*0.3)),"Y","N"),
IF(OR(J76="PBV",J76="HCV",AND((AC76/R76-1)&lt;=0.05,(AC76-Y76)&lt;=(N76/12*0.3))),"Y","N"))),"NA")</f>
        <v>NA</v>
      </c>
    </row>
    <row r="77" spans="2:32" x14ac:dyDescent="0.3">
      <c r="B77" s="271">
        <v>54</v>
      </c>
      <c r="C77" s="268" t="s">
        <v>130</v>
      </c>
      <c r="D77" s="212"/>
      <c r="E77" s="213" t="s">
        <v>131</v>
      </c>
      <c r="F77" s="214">
        <v>0</v>
      </c>
      <c r="G77" s="280" t="s">
        <v>132</v>
      </c>
      <c r="H77" s="287">
        <v>0</v>
      </c>
      <c r="I77" s="292">
        <f t="shared" si="11"/>
        <v>0</v>
      </c>
      <c r="J77" s="297" t="s">
        <v>131</v>
      </c>
      <c r="K77" s="282" t="s">
        <v>131</v>
      </c>
      <c r="L77" s="219" t="s">
        <v>131</v>
      </c>
      <c r="M77" s="337" t="s">
        <v>131</v>
      </c>
      <c r="N77" s="332">
        <v>0</v>
      </c>
      <c r="O77" s="337" t="s">
        <v>131</v>
      </c>
      <c r="P77" s="363" t="str">
        <f>IFERROR(INDEX(Data!$B$28:$B$46,MATCH('Rent Roll'!$N77,INDEX(Data!$B$28:$J$46,,MATCH('Rent Roll'!$O77,Data!$B$28:$J$28,0)),-1),1),"NA")</f>
        <v>NA</v>
      </c>
      <c r="Q77" s="280" t="s">
        <v>132</v>
      </c>
      <c r="R77" s="217">
        <v>0</v>
      </c>
      <c r="S77" s="77">
        <f t="shared" si="12"/>
        <v>0</v>
      </c>
      <c r="T77" s="116">
        <f t="shared" si="13"/>
        <v>0</v>
      </c>
      <c r="U77" s="217">
        <v>0</v>
      </c>
      <c r="V77" s="77">
        <f t="shared" si="14"/>
        <v>0</v>
      </c>
      <c r="W77" s="116">
        <f t="shared" si="7"/>
        <v>0</v>
      </c>
      <c r="X77" s="84">
        <f>IFERROR(IF(INDEX(AC$13:AC$17,MATCH($E77,$AB$13:$AB$17,0))&lt;&gt;0,INDEX(AC$13:AC$17,MATCH($E77,$AB$13:$AB$17,0)),
IF($N77="MKT",0,IF($L77="HUD FMR",INDEX(Data!$B$21:$G$21,MATCH($E77,Data!$B$9:$G$9,0))*$N77,INDEX(Data!$B$9:$G$22,MATCH($K77,Data!$B$9:$B$22,0),MATCH($E77,Data!$B$9:$G$9,0))))),0)</f>
        <v>0</v>
      </c>
      <c r="Y77" s="84">
        <f>IFERROR(IF(INDEX(AD$13:AD$17,MATCH($E77,$AB$13:$AB$17,0))&lt;&gt;0,INDEX(AD$13:AD$17,MATCH($E77,$AB$13:$AB$17,0)),
IF($K77="MKT",0,-INDEX(Data!$B$22:$G$22,MATCH($E77,Data!$B$9:$G$9,0)))),0)</f>
        <v>0</v>
      </c>
      <c r="Z77" s="88">
        <f t="shared" si="15"/>
        <v>0</v>
      </c>
      <c r="AA77" s="77">
        <f t="shared" si="16"/>
        <v>0</v>
      </c>
      <c r="AB77" s="116">
        <f t="shared" si="8"/>
        <v>0</v>
      </c>
      <c r="AC77" s="97">
        <f t="shared" si="9"/>
        <v>0</v>
      </c>
      <c r="AD77" s="100">
        <f t="shared" si="17"/>
        <v>0</v>
      </c>
      <c r="AE77" s="116">
        <f t="shared" si="10"/>
        <v>0</v>
      </c>
      <c r="AF77" s="371" t="str">
        <f>IFERROR(IF(AE77=0,"NA",
IF(G77="N",IF(OR(J77="PBV",J77="HCV",(AC77-Y77)&lt;=(INDEX(Data!$C$29:$J$46,MATCH('Rent Roll'!$K77,Data!$B$29:$B$46,0),MATCH($M77,Data!$C$28:$J$28,0))/12*0.3)),"Y","N"),
IF(OR(J77="PBV",J77="HCV",AND((AC77/R77-1)&lt;=0.05,(AC77-Y77)&lt;=(N77/12*0.3))),"Y","N"))),"NA")</f>
        <v>NA</v>
      </c>
    </row>
    <row r="78" spans="2:32" x14ac:dyDescent="0.3">
      <c r="B78" s="271">
        <v>55</v>
      </c>
      <c r="C78" s="268" t="s">
        <v>130</v>
      </c>
      <c r="D78" s="212"/>
      <c r="E78" s="213" t="s">
        <v>131</v>
      </c>
      <c r="F78" s="214">
        <v>0</v>
      </c>
      <c r="G78" s="280" t="s">
        <v>132</v>
      </c>
      <c r="H78" s="287">
        <v>0</v>
      </c>
      <c r="I78" s="292">
        <f t="shared" si="11"/>
        <v>0</v>
      </c>
      <c r="J78" s="297" t="s">
        <v>131</v>
      </c>
      <c r="K78" s="282" t="s">
        <v>131</v>
      </c>
      <c r="L78" s="219" t="s">
        <v>131</v>
      </c>
      <c r="M78" s="337" t="s">
        <v>131</v>
      </c>
      <c r="N78" s="332">
        <v>0</v>
      </c>
      <c r="O78" s="337" t="s">
        <v>131</v>
      </c>
      <c r="P78" s="363" t="str">
        <f>IFERROR(INDEX(Data!$B$28:$B$46,MATCH('Rent Roll'!$N78,INDEX(Data!$B$28:$J$46,,MATCH('Rent Roll'!$O78,Data!$B$28:$J$28,0)),-1),1),"NA")</f>
        <v>NA</v>
      </c>
      <c r="Q78" s="280" t="s">
        <v>132</v>
      </c>
      <c r="R78" s="217">
        <v>0</v>
      </c>
      <c r="S78" s="77">
        <f t="shared" si="12"/>
        <v>0</v>
      </c>
      <c r="T78" s="116">
        <f t="shared" si="13"/>
        <v>0</v>
      </c>
      <c r="U78" s="217">
        <v>0</v>
      </c>
      <c r="V78" s="77">
        <f t="shared" si="14"/>
        <v>0</v>
      </c>
      <c r="W78" s="116">
        <f t="shared" si="7"/>
        <v>0</v>
      </c>
      <c r="X78" s="84">
        <f>IFERROR(IF(INDEX(AC$13:AC$17,MATCH($E78,$AB$13:$AB$17,0))&lt;&gt;0,INDEX(AC$13:AC$17,MATCH($E78,$AB$13:$AB$17,0)),
IF($N78="MKT",0,IF($L78="HUD FMR",INDEX(Data!$B$21:$G$21,MATCH($E78,Data!$B$9:$G$9,0))*$N78,INDEX(Data!$B$9:$G$22,MATCH($K78,Data!$B$9:$B$22,0),MATCH($E78,Data!$B$9:$G$9,0))))),0)</f>
        <v>0</v>
      </c>
      <c r="Y78" s="84">
        <f>IFERROR(IF(INDEX(AD$13:AD$17,MATCH($E78,$AB$13:$AB$17,0))&lt;&gt;0,INDEX(AD$13:AD$17,MATCH($E78,$AB$13:$AB$17,0)),
IF($K78="MKT",0,-INDEX(Data!$B$22:$G$22,MATCH($E78,Data!$B$9:$G$9,0)))),0)</f>
        <v>0</v>
      </c>
      <c r="Z78" s="88">
        <f t="shared" si="15"/>
        <v>0</v>
      </c>
      <c r="AA78" s="77">
        <f t="shared" si="16"/>
        <v>0</v>
      </c>
      <c r="AB78" s="116">
        <f t="shared" si="8"/>
        <v>0</v>
      </c>
      <c r="AC78" s="97">
        <f t="shared" si="9"/>
        <v>0</v>
      </c>
      <c r="AD78" s="100">
        <f t="shared" si="17"/>
        <v>0</v>
      </c>
      <c r="AE78" s="116">
        <f t="shared" si="10"/>
        <v>0</v>
      </c>
      <c r="AF78" s="371" t="str">
        <f>IFERROR(IF(AE78=0,"NA",
IF(G78="N",IF(OR(J78="PBV",J78="HCV",(AC78-Y78)&lt;=(INDEX(Data!$C$29:$J$46,MATCH('Rent Roll'!$K78,Data!$B$29:$B$46,0),MATCH($M78,Data!$C$28:$J$28,0))/12*0.3)),"Y","N"),
IF(OR(J78="PBV",J78="HCV",AND((AC78/R78-1)&lt;=0.05,(AC78-Y78)&lt;=(N78/12*0.3))),"Y","N"))),"NA")</f>
        <v>NA</v>
      </c>
    </row>
    <row r="79" spans="2:32" x14ac:dyDescent="0.3">
      <c r="B79" s="271">
        <v>56</v>
      </c>
      <c r="C79" s="268" t="s">
        <v>130</v>
      </c>
      <c r="D79" s="212"/>
      <c r="E79" s="213" t="s">
        <v>131</v>
      </c>
      <c r="F79" s="214">
        <v>0</v>
      </c>
      <c r="G79" s="280" t="s">
        <v>132</v>
      </c>
      <c r="H79" s="287">
        <v>0</v>
      </c>
      <c r="I79" s="292">
        <f t="shared" si="11"/>
        <v>0</v>
      </c>
      <c r="J79" s="297" t="s">
        <v>131</v>
      </c>
      <c r="K79" s="282" t="s">
        <v>131</v>
      </c>
      <c r="L79" s="219" t="s">
        <v>131</v>
      </c>
      <c r="M79" s="337" t="s">
        <v>131</v>
      </c>
      <c r="N79" s="332">
        <v>0</v>
      </c>
      <c r="O79" s="337" t="s">
        <v>131</v>
      </c>
      <c r="P79" s="363" t="str">
        <f>IFERROR(INDEX(Data!$B$28:$B$46,MATCH('Rent Roll'!$N79,INDEX(Data!$B$28:$J$46,,MATCH('Rent Roll'!$O79,Data!$B$28:$J$28,0)),-1),1),"NA")</f>
        <v>NA</v>
      </c>
      <c r="Q79" s="280" t="s">
        <v>132</v>
      </c>
      <c r="R79" s="217">
        <v>0</v>
      </c>
      <c r="S79" s="77">
        <f t="shared" si="12"/>
        <v>0</v>
      </c>
      <c r="T79" s="116">
        <f t="shared" si="13"/>
        <v>0</v>
      </c>
      <c r="U79" s="217">
        <v>0</v>
      </c>
      <c r="V79" s="77">
        <f t="shared" si="14"/>
        <v>0</v>
      </c>
      <c r="W79" s="116">
        <f t="shared" si="7"/>
        <v>0</v>
      </c>
      <c r="X79" s="84">
        <f>IFERROR(IF(INDEX(AC$13:AC$17,MATCH($E79,$AB$13:$AB$17,0))&lt;&gt;0,INDEX(AC$13:AC$17,MATCH($E79,$AB$13:$AB$17,0)),
IF($N79="MKT",0,IF($L79="HUD FMR",INDEX(Data!$B$21:$G$21,MATCH($E79,Data!$B$9:$G$9,0))*$N79,INDEX(Data!$B$9:$G$22,MATCH($K79,Data!$B$9:$B$22,0),MATCH($E79,Data!$B$9:$G$9,0))))),0)</f>
        <v>0</v>
      </c>
      <c r="Y79" s="84">
        <f>IFERROR(IF(INDEX(AD$13:AD$17,MATCH($E79,$AB$13:$AB$17,0))&lt;&gt;0,INDEX(AD$13:AD$17,MATCH($E79,$AB$13:$AB$17,0)),
IF($K79="MKT",0,-INDEX(Data!$B$22:$G$22,MATCH($E79,Data!$B$9:$G$9,0)))),0)</f>
        <v>0</v>
      </c>
      <c r="Z79" s="88">
        <f t="shared" si="15"/>
        <v>0</v>
      </c>
      <c r="AA79" s="77">
        <f t="shared" si="16"/>
        <v>0</v>
      </c>
      <c r="AB79" s="116">
        <f t="shared" si="8"/>
        <v>0</v>
      </c>
      <c r="AC79" s="97">
        <f t="shared" si="9"/>
        <v>0</v>
      </c>
      <c r="AD79" s="100">
        <f t="shared" si="17"/>
        <v>0</v>
      </c>
      <c r="AE79" s="116">
        <f t="shared" si="10"/>
        <v>0</v>
      </c>
      <c r="AF79" s="371" t="str">
        <f>IFERROR(IF(AE79=0,"NA",
IF(G79="N",IF(OR(J79="PBV",J79="HCV",(AC79-Y79)&lt;=(INDEX(Data!$C$29:$J$46,MATCH('Rent Roll'!$K79,Data!$B$29:$B$46,0),MATCH($M79,Data!$C$28:$J$28,0))/12*0.3)),"Y","N"),
IF(OR(J79="PBV",J79="HCV",AND((AC79/R79-1)&lt;=0.05,(AC79-Y79)&lt;=(N79/12*0.3))),"Y","N"))),"NA")</f>
        <v>NA</v>
      </c>
    </row>
    <row r="80" spans="2:32" x14ac:dyDescent="0.3">
      <c r="B80" s="271">
        <v>57</v>
      </c>
      <c r="C80" s="268" t="s">
        <v>130</v>
      </c>
      <c r="D80" s="212"/>
      <c r="E80" s="213" t="s">
        <v>131</v>
      </c>
      <c r="F80" s="214">
        <v>0</v>
      </c>
      <c r="G80" s="280" t="s">
        <v>132</v>
      </c>
      <c r="H80" s="287">
        <v>0</v>
      </c>
      <c r="I80" s="292">
        <f t="shared" si="11"/>
        <v>0</v>
      </c>
      <c r="J80" s="297" t="s">
        <v>131</v>
      </c>
      <c r="K80" s="282" t="s">
        <v>131</v>
      </c>
      <c r="L80" s="219" t="s">
        <v>131</v>
      </c>
      <c r="M80" s="337" t="s">
        <v>131</v>
      </c>
      <c r="N80" s="332">
        <v>0</v>
      </c>
      <c r="O80" s="337" t="s">
        <v>131</v>
      </c>
      <c r="P80" s="363" t="str">
        <f>IFERROR(INDEX(Data!$B$28:$B$46,MATCH('Rent Roll'!$N80,INDEX(Data!$B$28:$J$46,,MATCH('Rent Roll'!$O80,Data!$B$28:$J$28,0)),-1),1),"NA")</f>
        <v>NA</v>
      </c>
      <c r="Q80" s="280" t="s">
        <v>132</v>
      </c>
      <c r="R80" s="217">
        <v>0</v>
      </c>
      <c r="S80" s="77">
        <f t="shared" si="12"/>
        <v>0</v>
      </c>
      <c r="T80" s="116">
        <f t="shared" si="13"/>
        <v>0</v>
      </c>
      <c r="U80" s="217">
        <v>0</v>
      </c>
      <c r="V80" s="77">
        <f t="shared" si="14"/>
        <v>0</v>
      </c>
      <c r="W80" s="116">
        <f t="shared" si="7"/>
        <v>0</v>
      </c>
      <c r="X80" s="84">
        <f>IFERROR(IF(INDEX(AC$13:AC$17,MATCH($E80,$AB$13:$AB$17,0))&lt;&gt;0,INDEX(AC$13:AC$17,MATCH($E80,$AB$13:$AB$17,0)),
IF($N80="MKT",0,IF($L80="HUD FMR",INDEX(Data!$B$21:$G$21,MATCH($E80,Data!$B$9:$G$9,0))*$N80,INDEX(Data!$B$9:$G$22,MATCH($K80,Data!$B$9:$B$22,0),MATCH($E80,Data!$B$9:$G$9,0))))),0)</f>
        <v>0</v>
      </c>
      <c r="Y80" s="84">
        <f>IFERROR(IF(INDEX(AD$13:AD$17,MATCH($E80,$AB$13:$AB$17,0))&lt;&gt;0,INDEX(AD$13:AD$17,MATCH($E80,$AB$13:$AB$17,0)),
IF($K80="MKT",0,-INDEX(Data!$B$22:$G$22,MATCH($E80,Data!$B$9:$G$9,0)))),0)</f>
        <v>0</v>
      </c>
      <c r="Z80" s="88">
        <f t="shared" si="15"/>
        <v>0</v>
      </c>
      <c r="AA80" s="77">
        <f t="shared" si="16"/>
        <v>0</v>
      </c>
      <c r="AB80" s="116">
        <f t="shared" si="8"/>
        <v>0</v>
      </c>
      <c r="AC80" s="97">
        <f t="shared" si="9"/>
        <v>0</v>
      </c>
      <c r="AD80" s="100">
        <f t="shared" si="17"/>
        <v>0</v>
      </c>
      <c r="AE80" s="116">
        <f t="shared" si="10"/>
        <v>0</v>
      </c>
      <c r="AF80" s="371" t="str">
        <f>IFERROR(IF(AE80=0,"NA",
IF(G80="N",IF(OR(J80="PBV",J80="HCV",(AC80-Y80)&lt;=(INDEX(Data!$C$29:$J$46,MATCH('Rent Roll'!$K80,Data!$B$29:$B$46,0),MATCH($M80,Data!$C$28:$J$28,0))/12*0.3)),"Y","N"),
IF(OR(J80="PBV",J80="HCV",AND((AC80/R80-1)&lt;=0.05,(AC80-Y80)&lt;=(N80/12*0.3))),"Y","N"))),"NA")</f>
        <v>NA</v>
      </c>
    </row>
    <row r="81" spans="2:32" x14ac:dyDescent="0.3">
      <c r="B81" s="271">
        <v>58</v>
      </c>
      <c r="C81" s="268" t="s">
        <v>130</v>
      </c>
      <c r="D81" s="212"/>
      <c r="E81" s="213" t="s">
        <v>131</v>
      </c>
      <c r="F81" s="214">
        <v>0</v>
      </c>
      <c r="G81" s="280" t="s">
        <v>132</v>
      </c>
      <c r="H81" s="287">
        <v>0</v>
      </c>
      <c r="I81" s="292">
        <f t="shared" si="11"/>
        <v>0</v>
      </c>
      <c r="J81" s="297" t="s">
        <v>131</v>
      </c>
      <c r="K81" s="282" t="s">
        <v>131</v>
      </c>
      <c r="L81" s="219" t="s">
        <v>131</v>
      </c>
      <c r="M81" s="337" t="s">
        <v>131</v>
      </c>
      <c r="N81" s="332">
        <v>0</v>
      </c>
      <c r="O81" s="337" t="s">
        <v>131</v>
      </c>
      <c r="P81" s="363" t="str">
        <f>IFERROR(INDEX(Data!$B$28:$B$46,MATCH('Rent Roll'!$N81,INDEX(Data!$B$28:$J$46,,MATCH('Rent Roll'!$O81,Data!$B$28:$J$28,0)),-1),1),"NA")</f>
        <v>NA</v>
      </c>
      <c r="Q81" s="280" t="s">
        <v>132</v>
      </c>
      <c r="R81" s="217">
        <v>0</v>
      </c>
      <c r="S81" s="77">
        <f t="shared" si="12"/>
        <v>0</v>
      </c>
      <c r="T81" s="116">
        <f t="shared" si="13"/>
        <v>0</v>
      </c>
      <c r="U81" s="217">
        <v>0</v>
      </c>
      <c r="V81" s="77">
        <f t="shared" si="14"/>
        <v>0</v>
      </c>
      <c r="W81" s="116">
        <f t="shared" si="7"/>
        <v>0</v>
      </c>
      <c r="X81" s="84">
        <f>IFERROR(IF(INDEX(AC$13:AC$17,MATCH($E81,$AB$13:$AB$17,0))&lt;&gt;0,INDEX(AC$13:AC$17,MATCH($E81,$AB$13:$AB$17,0)),
IF($N81="MKT",0,IF($L81="HUD FMR",INDEX(Data!$B$21:$G$21,MATCH($E81,Data!$B$9:$G$9,0))*$N81,INDEX(Data!$B$9:$G$22,MATCH($K81,Data!$B$9:$B$22,0),MATCH($E81,Data!$B$9:$G$9,0))))),0)</f>
        <v>0</v>
      </c>
      <c r="Y81" s="84">
        <f>IFERROR(IF(INDEX(AD$13:AD$17,MATCH($E81,$AB$13:$AB$17,0))&lt;&gt;0,INDEX(AD$13:AD$17,MATCH($E81,$AB$13:$AB$17,0)),
IF($K81="MKT",0,-INDEX(Data!$B$22:$G$22,MATCH($E81,Data!$B$9:$G$9,0)))),0)</f>
        <v>0</v>
      </c>
      <c r="Z81" s="88">
        <f t="shared" si="15"/>
        <v>0</v>
      </c>
      <c r="AA81" s="77">
        <f t="shared" si="16"/>
        <v>0</v>
      </c>
      <c r="AB81" s="116">
        <f t="shared" si="8"/>
        <v>0</v>
      </c>
      <c r="AC81" s="97">
        <f t="shared" si="9"/>
        <v>0</v>
      </c>
      <c r="AD81" s="100">
        <f t="shared" si="17"/>
        <v>0</v>
      </c>
      <c r="AE81" s="116">
        <f t="shared" si="10"/>
        <v>0</v>
      </c>
      <c r="AF81" s="371" t="str">
        <f>IFERROR(IF(AE81=0,"NA",
IF(G81="N",IF(OR(J81="PBV",J81="HCV",(AC81-Y81)&lt;=(INDEX(Data!$C$29:$J$46,MATCH('Rent Roll'!$K81,Data!$B$29:$B$46,0),MATCH($M81,Data!$C$28:$J$28,0))/12*0.3)),"Y","N"),
IF(OR(J81="PBV",J81="HCV",AND((AC81/R81-1)&lt;=0.05,(AC81-Y81)&lt;=(N81/12*0.3))),"Y","N"))),"NA")</f>
        <v>NA</v>
      </c>
    </row>
    <row r="82" spans="2:32" x14ac:dyDescent="0.3">
      <c r="B82" s="271">
        <v>59</v>
      </c>
      <c r="C82" s="268" t="s">
        <v>130</v>
      </c>
      <c r="D82" s="212"/>
      <c r="E82" s="213" t="s">
        <v>131</v>
      </c>
      <c r="F82" s="214">
        <v>0</v>
      </c>
      <c r="G82" s="280" t="s">
        <v>132</v>
      </c>
      <c r="H82" s="287">
        <v>0</v>
      </c>
      <c r="I82" s="292">
        <f t="shared" si="11"/>
        <v>0</v>
      </c>
      <c r="J82" s="297" t="s">
        <v>131</v>
      </c>
      <c r="K82" s="282" t="s">
        <v>131</v>
      </c>
      <c r="L82" s="219" t="s">
        <v>131</v>
      </c>
      <c r="M82" s="337" t="s">
        <v>131</v>
      </c>
      <c r="N82" s="332">
        <v>0</v>
      </c>
      <c r="O82" s="337" t="s">
        <v>131</v>
      </c>
      <c r="P82" s="363" t="str">
        <f>IFERROR(INDEX(Data!$B$28:$B$46,MATCH('Rent Roll'!$N82,INDEX(Data!$B$28:$J$46,,MATCH('Rent Roll'!$O82,Data!$B$28:$J$28,0)),-1),1),"NA")</f>
        <v>NA</v>
      </c>
      <c r="Q82" s="280" t="s">
        <v>132</v>
      </c>
      <c r="R82" s="217">
        <v>0</v>
      </c>
      <c r="S82" s="77">
        <f t="shared" si="12"/>
        <v>0</v>
      </c>
      <c r="T82" s="116">
        <f t="shared" si="13"/>
        <v>0</v>
      </c>
      <c r="U82" s="217">
        <v>0</v>
      </c>
      <c r="V82" s="77">
        <f t="shared" si="14"/>
        <v>0</v>
      </c>
      <c r="W82" s="116">
        <f t="shared" si="7"/>
        <v>0</v>
      </c>
      <c r="X82" s="84">
        <f>IFERROR(IF(INDEX(AC$13:AC$17,MATCH($E82,$AB$13:$AB$17,0))&lt;&gt;0,INDEX(AC$13:AC$17,MATCH($E82,$AB$13:$AB$17,0)),
IF($N82="MKT",0,IF($L82="HUD FMR",INDEX(Data!$B$21:$G$21,MATCH($E82,Data!$B$9:$G$9,0))*$N82,INDEX(Data!$B$9:$G$22,MATCH($K82,Data!$B$9:$B$22,0),MATCH($E82,Data!$B$9:$G$9,0))))),0)</f>
        <v>0</v>
      </c>
      <c r="Y82" s="84">
        <f>IFERROR(IF(INDEX(AD$13:AD$17,MATCH($E82,$AB$13:$AB$17,0))&lt;&gt;0,INDEX(AD$13:AD$17,MATCH($E82,$AB$13:$AB$17,0)),
IF($K82="MKT",0,-INDEX(Data!$B$22:$G$22,MATCH($E82,Data!$B$9:$G$9,0)))),0)</f>
        <v>0</v>
      </c>
      <c r="Z82" s="88">
        <f t="shared" si="15"/>
        <v>0</v>
      </c>
      <c r="AA82" s="77">
        <f t="shared" si="16"/>
        <v>0</v>
      </c>
      <c r="AB82" s="116">
        <f t="shared" si="8"/>
        <v>0</v>
      </c>
      <c r="AC82" s="97">
        <f t="shared" si="9"/>
        <v>0</v>
      </c>
      <c r="AD82" s="100">
        <f t="shared" si="17"/>
        <v>0</v>
      </c>
      <c r="AE82" s="116">
        <f t="shared" si="10"/>
        <v>0</v>
      </c>
      <c r="AF82" s="371" t="str">
        <f>IFERROR(IF(AE82=0,"NA",
IF(G82="N",IF(OR(J82="PBV",J82="HCV",(AC82-Y82)&lt;=(INDEX(Data!$C$29:$J$46,MATCH('Rent Roll'!$K82,Data!$B$29:$B$46,0),MATCH($M82,Data!$C$28:$J$28,0))/12*0.3)),"Y","N"),
IF(OR(J82="PBV",J82="HCV",AND((AC82/R82-1)&lt;=0.05,(AC82-Y82)&lt;=(N82/12*0.3))),"Y","N"))),"NA")</f>
        <v>NA</v>
      </c>
    </row>
    <row r="83" spans="2:32" x14ac:dyDescent="0.3">
      <c r="B83" s="271">
        <v>60</v>
      </c>
      <c r="C83" s="268" t="s">
        <v>130</v>
      </c>
      <c r="D83" s="212"/>
      <c r="E83" s="213" t="s">
        <v>131</v>
      </c>
      <c r="F83" s="214">
        <v>0</v>
      </c>
      <c r="G83" s="280" t="s">
        <v>132</v>
      </c>
      <c r="H83" s="287">
        <v>0</v>
      </c>
      <c r="I83" s="292">
        <f t="shared" si="11"/>
        <v>0</v>
      </c>
      <c r="J83" s="297" t="s">
        <v>131</v>
      </c>
      <c r="K83" s="282" t="s">
        <v>131</v>
      </c>
      <c r="L83" s="219" t="s">
        <v>131</v>
      </c>
      <c r="M83" s="337" t="s">
        <v>131</v>
      </c>
      <c r="N83" s="332">
        <v>0</v>
      </c>
      <c r="O83" s="337" t="s">
        <v>131</v>
      </c>
      <c r="P83" s="363" t="str">
        <f>IFERROR(INDEX(Data!$B$28:$B$46,MATCH('Rent Roll'!$N83,INDEX(Data!$B$28:$J$46,,MATCH('Rent Roll'!$O83,Data!$B$28:$J$28,0)),-1),1),"NA")</f>
        <v>NA</v>
      </c>
      <c r="Q83" s="280" t="s">
        <v>132</v>
      </c>
      <c r="R83" s="217">
        <v>0</v>
      </c>
      <c r="S83" s="77">
        <f t="shared" si="12"/>
        <v>0</v>
      </c>
      <c r="T83" s="116">
        <f t="shared" si="13"/>
        <v>0</v>
      </c>
      <c r="U83" s="217">
        <v>0</v>
      </c>
      <c r="V83" s="77">
        <f t="shared" si="14"/>
        <v>0</v>
      </c>
      <c r="W83" s="116">
        <f t="shared" si="7"/>
        <v>0</v>
      </c>
      <c r="X83" s="84">
        <f>IFERROR(IF(INDEX(AC$13:AC$17,MATCH($E83,$AB$13:$AB$17,0))&lt;&gt;0,INDEX(AC$13:AC$17,MATCH($E83,$AB$13:$AB$17,0)),
IF($N83="MKT",0,IF($L83="HUD FMR",INDEX(Data!$B$21:$G$21,MATCH($E83,Data!$B$9:$G$9,0))*$N83,INDEX(Data!$B$9:$G$22,MATCH($K83,Data!$B$9:$B$22,0),MATCH($E83,Data!$B$9:$G$9,0))))),0)</f>
        <v>0</v>
      </c>
      <c r="Y83" s="84">
        <f>IFERROR(IF(INDEX(AD$13:AD$17,MATCH($E83,$AB$13:$AB$17,0))&lt;&gt;0,INDEX(AD$13:AD$17,MATCH($E83,$AB$13:$AB$17,0)),
IF($K83="MKT",0,-INDEX(Data!$B$22:$G$22,MATCH($E83,Data!$B$9:$G$9,0)))),0)</f>
        <v>0</v>
      </c>
      <c r="Z83" s="88">
        <f t="shared" si="15"/>
        <v>0</v>
      </c>
      <c r="AA83" s="77">
        <f t="shared" si="16"/>
        <v>0</v>
      </c>
      <c r="AB83" s="116">
        <f t="shared" si="8"/>
        <v>0</v>
      </c>
      <c r="AC83" s="97">
        <f t="shared" si="9"/>
        <v>0</v>
      </c>
      <c r="AD83" s="100">
        <f t="shared" si="17"/>
        <v>0</v>
      </c>
      <c r="AE83" s="116">
        <f t="shared" si="10"/>
        <v>0</v>
      </c>
      <c r="AF83" s="371" t="str">
        <f>IFERROR(IF(AE83=0,"NA",
IF(G83="N",IF(OR(J83="PBV",J83="HCV",(AC83-Y83)&lt;=(INDEX(Data!$C$29:$J$46,MATCH('Rent Roll'!$K83,Data!$B$29:$B$46,0),MATCH($M83,Data!$C$28:$J$28,0))/12*0.3)),"Y","N"),
IF(OR(J83="PBV",J83="HCV",AND((AC83/R83-1)&lt;=0.05,(AC83-Y83)&lt;=(N83/12*0.3))),"Y","N"))),"NA")</f>
        <v>NA</v>
      </c>
    </row>
    <row r="84" spans="2:32" x14ac:dyDescent="0.3">
      <c r="B84" s="271">
        <v>61</v>
      </c>
      <c r="C84" s="268" t="s">
        <v>130</v>
      </c>
      <c r="D84" s="212"/>
      <c r="E84" s="213" t="s">
        <v>131</v>
      </c>
      <c r="F84" s="214">
        <v>0</v>
      </c>
      <c r="G84" s="280" t="s">
        <v>132</v>
      </c>
      <c r="H84" s="287">
        <v>0</v>
      </c>
      <c r="I84" s="292">
        <f t="shared" si="11"/>
        <v>0</v>
      </c>
      <c r="J84" s="297" t="s">
        <v>131</v>
      </c>
      <c r="K84" s="282" t="s">
        <v>131</v>
      </c>
      <c r="L84" s="219" t="s">
        <v>131</v>
      </c>
      <c r="M84" s="337" t="s">
        <v>131</v>
      </c>
      <c r="N84" s="332">
        <v>0</v>
      </c>
      <c r="O84" s="337" t="s">
        <v>131</v>
      </c>
      <c r="P84" s="363" t="str">
        <f>IFERROR(INDEX(Data!$B$28:$B$46,MATCH('Rent Roll'!$N84,INDEX(Data!$B$28:$J$46,,MATCH('Rent Roll'!$O84,Data!$B$28:$J$28,0)),-1),1),"NA")</f>
        <v>NA</v>
      </c>
      <c r="Q84" s="280" t="s">
        <v>132</v>
      </c>
      <c r="R84" s="217">
        <v>0</v>
      </c>
      <c r="S84" s="77">
        <f t="shared" si="12"/>
        <v>0</v>
      </c>
      <c r="T84" s="116">
        <f t="shared" si="13"/>
        <v>0</v>
      </c>
      <c r="U84" s="217">
        <v>0</v>
      </c>
      <c r="V84" s="77">
        <f t="shared" si="14"/>
        <v>0</v>
      </c>
      <c r="W84" s="116">
        <f t="shared" si="7"/>
        <v>0</v>
      </c>
      <c r="X84" s="84">
        <f>IFERROR(IF(INDEX(AC$13:AC$17,MATCH($E84,$AB$13:$AB$17,0))&lt;&gt;0,INDEX(AC$13:AC$17,MATCH($E84,$AB$13:$AB$17,0)),
IF($N84="MKT",0,IF($L84="HUD FMR",INDEX(Data!$B$21:$G$21,MATCH($E84,Data!$B$9:$G$9,0))*$N84,INDEX(Data!$B$9:$G$22,MATCH($K84,Data!$B$9:$B$22,0),MATCH($E84,Data!$B$9:$G$9,0))))),0)</f>
        <v>0</v>
      </c>
      <c r="Y84" s="84">
        <f>IFERROR(IF(INDEX(AD$13:AD$17,MATCH($E84,$AB$13:$AB$17,0))&lt;&gt;0,INDEX(AD$13:AD$17,MATCH($E84,$AB$13:$AB$17,0)),
IF($K84="MKT",0,-INDEX(Data!$B$22:$G$22,MATCH($E84,Data!$B$9:$G$9,0)))),0)</f>
        <v>0</v>
      </c>
      <c r="Z84" s="88">
        <f t="shared" si="15"/>
        <v>0</v>
      </c>
      <c r="AA84" s="77">
        <f t="shared" si="16"/>
        <v>0</v>
      </c>
      <c r="AB84" s="116">
        <f t="shared" si="8"/>
        <v>0</v>
      </c>
      <c r="AC84" s="97">
        <f t="shared" si="9"/>
        <v>0</v>
      </c>
      <c r="AD84" s="100">
        <f t="shared" si="17"/>
        <v>0</v>
      </c>
      <c r="AE84" s="116">
        <f t="shared" si="10"/>
        <v>0</v>
      </c>
      <c r="AF84" s="371" t="str">
        <f>IFERROR(IF(AE84=0,"NA",
IF(G84="N",IF(OR(J84="PBV",J84="HCV",(AC84-Y84)&lt;=(INDEX(Data!$C$29:$J$46,MATCH('Rent Roll'!$K84,Data!$B$29:$B$46,0),MATCH($M84,Data!$C$28:$J$28,0))/12*0.3)),"Y","N"),
IF(OR(J84="PBV",J84="HCV",AND((AC84/R84-1)&lt;=0.05,(AC84-Y84)&lt;=(N84/12*0.3))),"Y","N"))),"NA")</f>
        <v>NA</v>
      </c>
    </row>
    <row r="85" spans="2:32" x14ac:dyDescent="0.3">
      <c r="B85" s="271">
        <v>62</v>
      </c>
      <c r="C85" s="268" t="s">
        <v>130</v>
      </c>
      <c r="D85" s="212"/>
      <c r="E85" s="213" t="s">
        <v>131</v>
      </c>
      <c r="F85" s="214">
        <v>0</v>
      </c>
      <c r="G85" s="280" t="s">
        <v>132</v>
      </c>
      <c r="H85" s="287">
        <v>0</v>
      </c>
      <c r="I85" s="292">
        <f t="shared" si="11"/>
        <v>0</v>
      </c>
      <c r="J85" s="297" t="s">
        <v>131</v>
      </c>
      <c r="K85" s="282" t="s">
        <v>131</v>
      </c>
      <c r="L85" s="219" t="s">
        <v>131</v>
      </c>
      <c r="M85" s="337" t="s">
        <v>131</v>
      </c>
      <c r="N85" s="332">
        <v>0</v>
      </c>
      <c r="O85" s="337" t="s">
        <v>131</v>
      </c>
      <c r="P85" s="363" t="str">
        <f>IFERROR(INDEX(Data!$B$28:$B$46,MATCH('Rent Roll'!$N85,INDEX(Data!$B$28:$J$46,,MATCH('Rent Roll'!$O85,Data!$B$28:$J$28,0)),-1),1),"NA")</f>
        <v>NA</v>
      </c>
      <c r="Q85" s="280" t="s">
        <v>132</v>
      </c>
      <c r="R85" s="217">
        <v>0</v>
      </c>
      <c r="S85" s="77">
        <f t="shared" si="12"/>
        <v>0</v>
      </c>
      <c r="T85" s="116">
        <f t="shared" si="13"/>
        <v>0</v>
      </c>
      <c r="U85" s="217">
        <v>0</v>
      </c>
      <c r="V85" s="77">
        <f t="shared" si="14"/>
        <v>0</v>
      </c>
      <c r="W85" s="116">
        <f t="shared" si="7"/>
        <v>0</v>
      </c>
      <c r="X85" s="84">
        <f>IFERROR(IF(INDEX(AC$13:AC$17,MATCH($E85,$AB$13:$AB$17,0))&lt;&gt;0,INDEX(AC$13:AC$17,MATCH($E85,$AB$13:$AB$17,0)),
IF($N85="MKT",0,IF($L85="HUD FMR",INDEX(Data!$B$21:$G$21,MATCH($E85,Data!$B$9:$G$9,0))*$N85,INDEX(Data!$B$9:$G$22,MATCH($K85,Data!$B$9:$B$22,0),MATCH($E85,Data!$B$9:$G$9,0))))),0)</f>
        <v>0</v>
      </c>
      <c r="Y85" s="84">
        <f>IFERROR(IF(INDEX(AD$13:AD$17,MATCH($E85,$AB$13:$AB$17,0))&lt;&gt;0,INDEX(AD$13:AD$17,MATCH($E85,$AB$13:$AB$17,0)),
IF($K85="MKT",0,-INDEX(Data!$B$22:$G$22,MATCH($E85,Data!$B$9:$G$9,0)))),0)</f>
        <v>0</v>
      </c>
      <c r="Z85" s="88">
        <f t="shared" si="15"/>
        <v>0</v>
      </c>
      <c r="AA85" s="77">
        <f t="shared" si="16"/>
        <v>0</v>
      </c>
      <c r="AB85" s="116">
        <f t="shared" si="8"/>
        <v>0</v>
      </c>
      <c r="AC85" s="97">
        <f t="shared" si="9"/>
        <v>0</v>
      </c>
      <c r="AD85" s="100">
        <f t="shared" si="17"/>
        <v>0</v>
      </c>
      <c r="AE85" s="116">
        <f t="shared" si="10"/>
        <v>0</v>
      </c>
      <c r="AF85" s="371" t="str">
        <f>IFERROR(IF(AE85=0,"NA",
IF(G85="N",IF(OR(J85="PBV",J85="HCV",(AC85-Y85)&lt;=(INDEX(Data!$C$29:$J$46,MATCH('Rent Roll'!$K85,Data!$B$29:$B$46,0),MATCH($M85,Data!$C$28:$J$28,0))/12*0.3)),"Y","N"),
IF(OR(J85="PBV",J85="HCV",AND((AC85/R85-1)&lt;=0.05,(AC85-Y85)&lt;=(N85/12*0.3))),"Y","N"))),"NA")</f>
        <v>NA</v>
      </c>
    </row>
    <row r="86" spans="2:32" x14ac:dyDescent="0.3">
      <c r="B86" s="271">
        <v>63</v>
      </c>
      <c r="C86" s="268" t="s">
        <v>130</v>
      </c>
      <c r="D86" s="212"/>
      <c r="E86" s="213" t="s">
        <v>131</v>
      </c>
      <c r="F86" s="214">
        <v>0</v>
      </c>
      <c r="G86" s="280" t="s">
        <v>132</v>
      </c>
      <c r="H86" s="287">
        <v>0</v>
      </c>
      <c r="I86" s="292">
        <f t="shared" si="11"/>
        <v>0</v>
      </c>
      <c r="J86" s="297" t="s">
        <v>131</v>
      </c>
      <c r="K86" s="282" t="s">
        <v>131</v>
      </c>
      <c r="L86" s="219" t="s">
        <v>131</v>
      </c>
      <c r="M86" s="337" t="s">
        <v>131</v>
      </c>
      <c r="N86" s="332">
        <v>0</v>
      </c>
      <c r="O86" s="337" t="s">
        <v>131</v>
      </c>
      <c r="P86" s="363" t="str">
        <f>IFERROR(INDEX(Data!$B$28:$B$46,MATCH('Rent Roll'!$N86,INDEX(Data!$B$28:$J$46,,MATCH('Rent Roll'!$O86,Data!$B$28:$J$28,0)),-1),1),"NA")</f>
        <v>NA</v>
      </c>
      <c r="Q86" s="280" t="s">
        <v>132</v>
      </c>
      <c r="R86" s="217">
        <v>0</v>
      </c>
      <c r="S86" s="77">
        <f t="shared" si="12"/>
        <v>0</v>
      </c>
      <c r="T86" s="116">
        <f t="shared" si="13"/>
        <v>0</v>
      </c>
      <c r="U86" s="217">
        <v>0</v>
      </c>
      <c r="V86" s="77">
        <f t="shared" si="14"/>
        <v>0</v>
      </c>
      <c r="W86" s="116">
        <f t="shared" si="7"/>
        <v>0</v>
      </c>
      <c r="X86" s="84">
        <f>IFERROR(IF(INDEX(AC$13:AC$17,MATCH($E86,$AB$13:$AB$17,0))&lt;&gt;0,INDEX(AC$13:AC$17,MATCH($E86,$AB$13:$AB$17,0)),
IF($N86="MKT",0,IF($L86="HUD FMR",INDEX(Data!$B$21:$G$21,MATCH($E86,Data!$B$9:$G$9,0))*$N86,INDEX(Data!$B$9:$G$22,MATCH($K86,Data!$B$9:$B$22,0),MATCH($E86,Data!$B$9:$G$9,0))))),0)</f>
        <v>0</v>
      </c>
      <c r="Y86" s="84">
        <f>IFERROR(IF(INDEX(AD$13:AD$17,MATCH($E86,$AB$13:$AB$17,0))&lt;&gt;0,INDEX(AD$13:AD$17,MATCH($E86,$AB$13:$AB$17,0)),
IF($K86="MKT",0,-INDEX(Data!$B$22:$G$22,MATCH($E86,Data!$B$9:$G$9,0)))),0)</f>
        <v>0</v>
      </c>
      <c r="Z86" s="88">
        <f t="shared" si="15"/>
        <v>0</v>
      </c>
      <c r="AA86" s="77">
        <f t="shared" si="16"/>
        <v>0</v>
      </c>
      <c r="AB86" s="116">
        <f t="shared" si="8"/>
        <v>0</v>
      </c>
      <c r="AC86" s="97">
        <f t="shared" si="9"/>
        <v>0</v>
      </c>
      <c r="AD86" s="100">
        <f t="shared" si="17"/>
        <v>0</v>
      </c>
      <c r="AE86" s="116">
        <f t="shared" si="10"/>
        <v>0</v>
      </c>
      <c r="AF86" s="371" t="str">
        <f>IFERROR(IF(AE86=0,"NA",
IF(G86="N",IF(OR(J86="PBV",J86="HCV",(AC86-Y86)&lt;=(INDEX(Data!$C$29:$J$46,MATCH('Rent Roll'!$K86,Data!$B$29:$B$46,0),MATCH($M86,Data!$C$28:$J$28,0))/12*0.3)),"Y","N"),
IF(OR(J86="PBV",J86="HCV",AND((AC86/R86-1)&lt;=0.05,(AC86-Y86)&lt;=(N86/12*0.3))),"Y","N"))),"NA")</f>
        <v>NA</v>
      </c>
    </row>
    <row r="87" spans="2:32" x14ac:dyDescent="0.3">
      <c r="B87" s="271">
        <v>64</v>
      </c>
      <c r="C87" s="268" t="s">
        <v>130</v>
      </c>
      <c r="D87" s="212"/>
      <c r="E87" s="213" t="s">
        <v>131</v>
      </c>
      <c r="F87" s="214">
        <v>0</v>
      </c>
      <c r="G87" s="280" t="s">
        <v>132</v>
      </c>
      <c r="H87" s="287">
        <v>0</v>
      </c>
      <c r="I87" s="292">
        <f t="shared" si="11"/>
        <v>0</v>
      </c>
      <c r="J87" s="297" t="s">
        <v>131</v>
      </c>
      <c r="K87" s="282" t="s">
        <v>131</v>
      </c>
      <c r="L87" s="219" t="s">
        <v>131</v>
      </c>
      <c r="M87" s="337" t="s">
        <v>131</v>
      </c>
      <c r="N87" s="332">
        <v>0</v>
      </c>
      <c r="O87" s="337" t="s">
        <v>131</v>
      </c>
      <c r="P87" s="363" t="str">
        <f>IFERROR(INDEX(Data!$B$28:$B$46,MATCH('Rent Roll'!$N87,INDEX(Data!$B$28:$J$46,,MATCH('Rent Roll'!$O87,Data!$B$28:$J$28,0)),-1),1),"NA")</f>
        <v>NA</v>
      </c>
      <c r="Q87" s="280" t="s">
        <v>132</v>
      </c>
      <c r="R87" s="217">
        <v>0</v>
      </c>
      <c r="S87" s="77">
        <f t="shared" si="12"/>
        <v>0</v>
      </c>
      <c r="T87" s="116">
        <f t="shared" si="13"/>
        <v>0</v>
      </c>
      <c r="U87" s="217">
        <v>0</v>
      </c>
      <c r="V87" s="77">
        <f t="shared" si="14"/>
        <v>0</v>
      </c>
      <c r="W87" s="116">
        <f t="shared" si="7"/>
        <v>0</v>
      </c>
      <c r="X87" s="84">
        <f>IFERROR(IF(INDEX(AC$13:AC$17,MATCH($E87,$AB$13:$AB$17,0))&lt;&gt;0,INDEX(AC$13:AC$17,MATCH($E87,$AB$13:$AB$17,0)),
IF($N87="MKT",0,IF($L87="HUD FMR",INDEX(Data!$B$21:$G$21,MATCH($E87,Data!$B$9:$G$9,0))*$N87,INDEX(Data!$B$9:$G$22,MATCH($K87,Data!$B$9:$B$22,0),MATCH($E87,Data!$B$9:$G$9,0))))),0)</f>
        <v>0</v>
      </c>
      <c r="Y87" s="84">
        <f>IFERROR(IF(INDEX(AD$13:AD$17,MATCH($E87,$AB$13:$AB$17,0))&lt;&gt;0,INDEX(AD$13:AD$17,MATCH($E87,$AB$13:$AB$17,0)),
IF($K87="MKT",0,-INDEX(Data!$B$22:$G$22,MATCH($E87,Data!$B$9:$G$9,0)))),0)</f>
        <v>0</v>
      </c>
      <c r="Z87" s="88">
        <f t="shared" si="15"/>
        <v>0</v>
      </c>
      <c r="AA87" s="77">
        <f t="shared" si="16"/>
        <v>0</v>
      </c>
      <c r="AB87" s="116">
        <f t="shared" si="8"/>
        <v>0</v>
      </c>
      <c r="AC87" s="97">
        <f t="shared" si="9"/>
        <v>0</v>
      </c>
      <c r="AD87" s="100">
        <f t="shared" si="17"/>
        <v>0</v>
      </c>
      <c r="AE87" s="116">
        <f t="shared" si="10"/>
        <v>0</v>
      </c>
      <c r="AF87" s="371" t="str">
        <f>IFERROR(IF(AE87=0,"NA",
IF(G87="N",IF(OR(J87="PBV",J87="HCV",(AC87-Y87)&lt;=(INDEX(Data!$C$29:$J$46,MATCH('Rent Roll'!$K87,Data!$B$29:$B$46,0),MATCH($M87,Data!$C$28:$J$28,0))/12*0.3)),"Y","N"),
IF(OR(J87="PBV",J87="HCV",AND((AC87/R87-1)&lt;=0.05,(AC87-Y87)&lt;=(N87/12*0.3))),"Y","N"))),"NA")</f>
        <v>NA</v>
      </c>
    </row>
    <row r="88" spans="2:32" x14ac:dyDescent="0.3">
      <c r="B88" s="271">
        <v>65</v>
      </c>
      <c r="C88" s="268" t="s">
        <v>130</v>
      </c>
      <c r="D88" s="212"/>
      <c r="E88" s="213" t="s">
        <v>131</v>
      </c>
      <c r="F88" s="214">
        <v>0</v>
      </c>
      <c r="G88" s="280" t="s">
        <v>132</v>
      </c>
      <c r="H88" s="287">
        <v>0</v>
      </c>
      <c r="I88" s="292">
        <f t="shared" ref="I88:I119" si="18">F88*H88</f>
        <v>0</v>
      </c>
      <c r="J88" s="297" t="s">
        <v>131</v>
      </c>
      <c r="K88" s="282" t="s">
        <v>131</v>
      </c>
      <c r="L88" s="219" t="s">
        <v>131</v>
      </c>
      <c r="M88" s="337" t="s">
        <v>131</v>
      </c>
      <c r="N88" s="332">
        <v>0</v>
      </c>
      <c r="O88" s="337" t="s">
        <v>131</v>
      </c>
      <c r="P88" s="363" t="str">
        <f>IFERROR(INDEX(Data!$B$28:$B$46,MATCH('Rent Roll'!$N88,INDEX(Data!$B$28:$J$46,,MATCH('Rent Roll'!$O88,Data!$B$28:$J$28,0)),-1),1),"NA")</f>
        <v>NA</v>
      </c>
      <c r="Q88" s="280" t="s">
        <v>132</v>
      </c>
      <c r="R88" s="217">
        <v>0</v>
      </c>
      <c r="S88" s="77">
        <f t="shared" ref="S88:S119" si="19">IFERROR(R88/$F88,0)</f>
        <v>0</v>
      </c>
      <c r="T88" s="116">
        <f t="shared" ref="T88:T123" si="20">IF(G88="Y",R88*$H88*12,0)</f>
        <v>0</v>
      </c>
      <c r="U88" s="217">
        <v>0</v>
      </c>
      <c r="V88" s="77">
        <f t="shared" ref="V88:V119" si="21">IFERROR(U88/$F88,0)</f>
        <v>0</v>
      </c>
      <c r="W88" s="116">
        <f t="shared" si="7"/>
        <v>0</v>
      </c>
      <c r="X88" s="84">
        <f>IFERROR(IF(INDEX(AC$13:AC$17,MATCH($E88,$AB$13:$AB$17,0))&lt;&gt;0,INDEX(AC$13:AC$17,MATCH($E88,$AB$13:$AB$17,0)),
IF($N88="MKT",0,IF($L88="HUD FMR",INDEX(Data!$B$21:$G$21,MATCH($E88,Data!$B$9:$G$9,0))*$N88,INDEX(Data!$B$9:$G$22,MATCH($K88,Data!$B$9:$B$22,0),MATCH($E88,Data!$B$9:$G$9,0))))),0)</f>
        <v>0</v>
      </c>
      <c r="Y88" s="84">
        <f>IFERROR(IF(INDEX(AD$13:AD$17,MATCH($E88,$AB$13:$AB$17,0))&lt;&gt;0,INDEX(AD$13:AD$17,MATCH($E88,$AB$13:$AB$17,0)),
IF($K88="MKT",0,-INDEX(Data!$B$22:$G$22,MATCH($E88,Data!$B$9:$G$9,0)))),0)</f>
        <v>0</v>
      </c>
      <c r="Z88" s="88">
        <f t="shared" ref="Z88:Z119" si="22">SUM(X88:Y88)</f>
        <v>0</v>
      </c>
      <c r="AA88" s="77">
        <f t="shared" ref="AA88:AA119" si="23">IFERROR(Z88/$F88,0)</f>
        <v>0</v>
      </c>
      <c r="AB88" s="116">
        <f t="shared" si="8"/>
        <v>0</v>
      </c>
      <c r="AC88" s="97">
        <f t="shared" si="9"/>
        <v>0</v>
      </c>
      <c r="AD88" s="100">
        <f t="shared" ref="AD88:AD119" si="24">IFERROR(AC88/$F88,0)</f>
        <v>0</v>
      </c>
      <c r="AE88" s="116">
        <f t="shared" si="10"/>
        <v>0</v>
      </c>
      <c r="AF88" s="371" t="str">
        <f>IFERROR(IF(AE88=0,"NA",
IF(G88="N",IF(OR(J88="PBV",J88="HCV",(AC88-Y88)&lt;=(INDEX(Data!$C$29:$J$46,MATCH('Rent Roll'!$K88,Data!$B$29:$B$46,0),MATCH($M88,Data!$C$28:$J$28,0))/12*0.3)),"Y","N"),
IF(OR(J88="PBV",J88="HCV",AND((AC88/R88-1)&lt;=0.05,(AC88-Y88)&lt;=(N88/12*0.3))),"Y","N"))),"NA")</f>
        <v>NA</v>
      </c>
    </row>
    <row r="89" spans="2:32" x14ac:dyDescent="0.3">
      <c r="B89" s="271">
        <v>66</v>
      </c>
      <c r="C89" s="268" t="s">
        <v>130</v>
      </c>
      <c r="D89" s="212"/>
      <c r="E89" s="213" t="s">
        <v>131</v>
      </c>
      <c r="F89" s="214">
        <v>0</v>
      </c>
      <c r="G89" s="280" t="s">
        <v>132</v>
      </c>
      <c r="H89" s="287">
        <v>0</v>
      </c>
      <c r="I89" s="292">
        <f t="shared" si="18"/>
        <v>0</v>
      </c>
      <c r="J89" s="297" t="s">
        <v>131</v>
      </c>
      <c r="K89" s="282" t="s">
        <v>131</v>
      </c>
      <c r="L89" s="219" t="s">
        <v>131</v>
      </c>
      <c r="M89" s="337" t="s">
        <v>131</v>
      </c>
      <c r="N89" s="332">
        <v>0</v>
      </c>
      <c r="O89" s="337" t="s">
        <v>131</v>
      </c>
      <c r="P89" s="363" t="str">
        <f>IFERROR(INDEX(Data!$B$28:$B$46,MATCH('Rent Roll'!$N89,INDEX(Data!$B$28:$J$46,,MATCH('Rent Roll'!$O89,Data!$B$28:$J$28,0)),-1),1),"NA")</f>
        <v>NA</v>
      </c>
      <c r="Q89" s="280" t="s">
        <v>132</v>
      </c>
      <c r="R89" s="217">
        <v>0</v>
      </c>
      <c r="S89" s="77">
        <f t="shared" si="19"/>
        <v>0</v>
      </c>
      <c r="T89" s="116">
        <f t="shared" si="20"/>
        <v>0</v>
      </c>
      <c r="U89" s="217">
        <v>0</v>
      </c>
      <c r="V89" s="77">
        <f t="shared" si="21"/>
        <v>0</v>
      </c>
      <c r="W89" s="116">
        <f t="shared" ref="W89:W123" si="25">U89*$H89*12</f>
        <v>0</v>
      </c>
      <c r="X89" s="84">
        <f>IFERROR(IF(INDEX(AC$13:AC$17,MATCH($E89,$AB$13:$AB$17,0))&lt;&gt;0,INDEX(AC$13:AC$17,MATCH($E89,$AB$13:$AB$17,0)),
IF($N89="MKT",0,IF($L89="HUD FMR",INDEX(Data!$B$21:$G$21,MATCH($E89,Data!$B$9:$G$9,0))*$N89,INDEX(Data!$B$9:$G$22,MATCH($K89,Data!$B$9:$B$22,0),MATCH($E89,Data!$B$9:$G$9,0))))),0)</f>
        <v>0</v>
      </c>
      <c r="Y89" s="84">
        <f>IFERROR(IF(INDEX(AD$13:AD$17,MATCH($E89,$AB$13:$AB$17,0))&lt;&gt;0,INDEX(AD$13:AD$17,MATCH($E89,$AB$13:$AB$17,0)),
IF($K89="MKT",0,-INDEX(Data!$B$22:$G$22,MATCH($E89,Data!$B$9:$G$9,0)))),0)</f>
        <v>0</v>
      </c>
      <c r="Z89" s="88">
        <f t="shared" si="22"/>
        <v>0</v>
      </c>
      <c r="AA89" s="77">
        <f t="shared" si="23"/>
        <v>0</v>
      </c>
      <c r="AB89" s="116">
        <f t="shared" ref="AB89:AB123" si="26">Z89*$H89*12</f>
        <v>0</v>
      </c>
      <c r="AC89" s="97">
        <f t="shared" ref="AC89:AC123" si="27">IF(AND($R89=$U89,$R89&gt;0,$U89&gt;0,$Z89&gt;0),MIN($R89,$U89,$Z89),
IF(AND($R89&lt;$U89,$Z89&gt;0),MIN($U89,$Z89),
IF($Z89=0,$U89)))</f>
        <v>0</v>
      </c>
      <c r="AD89" s="100">
        <f t="shared" si="24"/>
        <v>0</v>
      </c>
      <c r="AE89" s="116">
        <f t="shared" ref="AE89:AE123" si="28">AC89*$H89*12</f>
        <v>0</v>
      </c>
      <c r="AF89" s="371" t="str">
        <f>IFERROR(IF(AE89=0,"NA",
IF(G89="N",IF(OR(J89="PBV",J89="HCV",(AC89-Y89)&lt;=(INDEX(Data!$C$29:$J$46,MATCH('Rent Roll'!$K89,Data!$B$29:$B$46,0),MATCH($M89,Data!$C$28:$J$28,0))/12*0.3)),"Y","N"),
IF(OR(J89="PBV",J89="HCV",AND((AC89/R89-1)&lt;=0.05,(AC89-Y89)&lt;=(N89/12*0.3))),"Y","N"))),"NA")</f>
        <v>NA</v>
      </c>
    </row>
    <row r="90" spans="2:32" x14ac:dyDescent="0.3">
      <c r="B90" s="271">
        <v>67</v>
      </c>
      <c r="C90" s="268" t="s">
        <v>130</v>
      </c>
      <c r="D90" s="212"/>
      <c r="E90" s="213" t="s">
        <v>131</v>
      </c>
      <c r="F90" s="214">
        <v>0</v>
      </c>
      <c r="G90" s="280" t="s">
        <v>132</v>
      </c>
      <c r="H90" s="287">
        <v>0</v>
      </c>
      <c r="I90" s="292">
        <f t="shared" si="18"/>
        <v>0</v>
      </c>
      <c r="J90" s="297" t="s">
        <v>131</v>
      </c>
      <c r="K90" s="282" t="s">
        <v>131</v>
      </c>
      <c r="L90" s="219" t="s">
        <v>131</v>
      </c>
      <c r="M90" s="337" t="s">
        <v>131</v>
      </c>
      <c r="N90" s="332">
        <v>0</v>
      </c>
      <c r="O90" s="337" t="s">
        <v>131</v>
      </c>
      <c r="P90" s="363" t="str">
        <f>IFERROR(INDEX(Data!$B$28:$B$46,MATCH('Rent Roll'!$N90,INDEX(Data!$B$28:$J$46,,MATCH('Rent Roll'!$O90,Data!$B$28:$J$28,0)),-1),1),"NA")</f>
        <v>NA</v>
      </c>
      <c r="Q90" s="280" t="s">
        <v>132</v>
      </c>
      <c r="R90" s="217">
        <v>0</v>
      </c>
      <c r="S90" s="77">
        <f t="shared" si="19"/>
        <v>0</v>
      </c>
      <c r="T90" s="116">
        <f t="shared" si="20"/>
        <v>0</v>
      </c>
      <c r="U90" s="217">
        <v>0</v>
      </c>
      <c r="V90" s="77">
        <f t="shared" si="21"/>
        <v>0</v>
      </c>
      <c r="W90" s="116">
        <f t="shared" si="25"/>
        <v>0</v>
      </c>
      <c r="X90" s="84">
        <f>IFERROR(IF(INDEX(AC$13:AC$17,MATCH($E90,$AB$13:$AB$17,0))&lt;&gt;0,INDEX(AC$13:AC$17,MATCH($E90,$AB$13:$AB$17,0)),
IF($N90="MKT",0,IF($L90="HUD FMR",INDEX(Data!$B$21:$G$21,MATCH($E90,Data!$B$9:$G$9,0))*$N90,INDEX(Data!$B$9:$G$22,MATCH($K90,Data!$B$9:$B$22,0),MATCH($E90,Data!$B$9:$G$9,0))))),0)</f>
        <v>0</v>
      </c>
      <c r="Y90" s="84">
        <f>IFERROR(IF(INDEX(AD$13:AD$17,MATCH($E90,$AB$13:$AB$17,0))&lt;&gt;0,INDEX(AD$13:AD$17,MATCH($E90,$AB$13:$AB$17,0)),
IF($K90="MKT",0,-INDEX(Data!$B$22:$G$22,MATCH($E90,Data!$B$9:$G$9,0)))),0)</f>
        <v>0</v>
      </c>
      <c r="Z90" s="88">
        <f t="shared" si="22"/>
        <v>0</v>
      </c>
      <c r="AA90" s="77">
        <f t="shared" si="23"/>
        <v>0</v>
      </c>
      <c r="AB90" s="116">
        <f t="shared" si="26"/>
        <v>0</v>
      </c>
      <c r="AC90" s="97">
        <f t="shared" si="27"/>
        <v>0</v>
      </c>
      <c r="AD90" s="100">
        <f t="shared" si="24"/>
        <v>0</v>
      </c>
      <c r="AE90" s="116">
        <f t="shared" si="28"/>
        <v>0</v>
      </c>
      <c r="AF90" s="371" t="str">
        <f>IFERROR(IF(AE90=0,"NA",
IF(G90="N",IF(OR(J90="PBV",J90="HCV",(AC90-Y90)&lt;=(INDEX(Data!$C$29:$J$46,MATCH('Rent Roll'!$K90,Data!$B$29:$B$46,0),MATCH($M90,Data!$C$28:$J$28,0))/12*0.3)),"Y","N"),
IF(OR(J90="PBV",J90="HCV",AND((AC90/R90-1)&lt;=0.05,(AC90-Y90)&lt;=(N90/12*0.3))),"Y","N"))),"NA")</f>
        <v>NA</v>
      </c>
    </row>
    <row r="91" spans="2:32" x14ac:dyDescent="0.3">
      <c r="B91" s="271">
        <v>68</v>
      </c>
      <c r="C91" s="268" t="s">
        <v>130</v>
      </c>
      <c r="D91" s="212"/>
      <c r="E91" s="213" t="s">
        <v>131</v>
      </c>
      <c r="F91" s="214">
        <v>0</v>
      </c>
      <c r="G91" s="280" t="s">
        <v>132</v>
      </c>
      <c r="H91" s="287">
        <v>0</v>
      </c>
      <c r="I91" s="292">
        <f t="shared" si="18"/>
        <v>0</v>
      </c>
      <c r="J91" s="297" t="s">
        <v>131</v>
      </c>
      <c r="K91" s="282" t="s">
        <v>131</v>
      </c>
      <c r="L91" s="219" t="s">
        <v>131</v>
      </c>
      <c r="M91" s="337" t="s">
        <v>131</v>
      </c>
      <c r="N91" s="332">
        <v>0</v>
      </c>
      <c r="O91" s="337" t="s">
        <v>131</v>
      </c>
      <c r="P91" s="363" t="str">
        <f>IFERROR(INDEX(Data!$B$28:$B$46,MATCH('Rent Roll'!$N91,INDEX(Data!$B$28:$J$46,,MATCH('Rent Roll'!$O91,Data!$B$28:$J$28,0)),-1),1),"NA")</f>
        <v>NA</v>
      </c>
      <c r="Q91" s="280" t="s">
        <v>132</v>
      </c>
      <c r="R91" s="217">
        <v>0</v>
      </c>
      <c r="S91" s="77">
        <f t="shared" si="19"/>
        <v>0</v>
      </c>
      <c r="T91" s="116">
        <f t="shared" si="20"/>
        <v>0</v>
      </c>
      <c r="U91" s="217">
        <v>0</v>
      </c>
      <c r="V91" s="77">
        <f t="shared" si="21"/>
        <v>0</v>
      </c>
      <c r="W91" s="116">
        <f t="shared" si="25"/>
        <v>0</v>
      </c>
      <c r="X91" s="84">
        <f>IFERROR(IF(INDEX(AC$13:AC$17,MATCH($E91,$AB$13:$AB$17,0))&lt;&gt;0,INDEX(AC$13:AC$17,MATCH($E91,$AB$13:$AB$17,0)),
IF($N91="MKT",0,IF($L91="HUD FMR",INDEX(Data!$B$21:$G$21,MATCH($E91,Data!$B$9:$G$9,0))*$N91,INDEX(Data!$B$9:$G$22,MATCH($K91,Data!$B$9:$B$22,0),MATCH($E91,Data!$B$9:$G$9,0))))),0)</f>
        <v>0</v>
      </c>
      <c r="Y91" s="84">
        <f>IFERROR(IF(INDEX(AD$13:AD$17,MATCH($E91,$AB$13:$AB$17,0))&lt;&gt;0,INDEX(AD$13:AD$17,MATCH($E91,$AB$13:$AB$17,0)),
IF($K91="MKT",0,-INDEX(Data!$B$22:$G$22,MATCH($E91,Data!$B$9:$G$9,0)))),0)</f>
        <v>0</v>
      </c>
      <c r="Z91" s="88">
        <f t="shared" si="22"/>
        <v>0</v>
      </c>
      <c r="AA91" s="77">
        <f t="shared" si="23"/>
        <v>0</v>
      </c>
      <c r="AB91" s="116">
        <f t="shared" si="26"/>
        <v>0</v>
      </c>
      <c r="AC91" s="97">
        <f t="shared" si="27"/>
        <v>0</v>
      </c>
      <c r="AD91" s="100">
        <f t="shared" si="24"/>
        <v>0</v>
      </c>
      <c r="AE91" s="116">
        <f t="shared" si="28"/>
        <v>0</v>
      </c>
      <c r="AF91" s="371" t="str">
        <f>IFERROR(IF(AE91=0,"NA",
IF(G91="N",IF(OR(J91="PBV",J91="HCV",(AC91-Y91)&lt;=(INDEX(Data!$C$29:$J$46,MATCH('Rent Roll'!$K91,Data!$B$29:$B$46,0),MATCH($M91,Data!$C$28:$J$28,0))/12*0.3)),"Y","N"),
IF(OR(J91="PBV",J91="HCV",AND((AC91/R91-1)&lt;=0.05,(AC91-Y91)&lt;=(N91/12*0.3))),"Y","N"))),"NA")</f>
        <v>NA</v>
      </c>
    </row>
    <row r="92" spans="2:32" x14ac:dyDescent="0.3">
      <c r="B92" s="271">
        <v>69</v>
      </c>
      <c r="C92" s="268" t="s">
        <v>130</v>
      </c>
      <c r="D92" s="212"/>
      <c r="E92" s="213" t="s">
        <v>131</v>
      </c>
      <c r="F92" s="214">
        <v>0</v>
      </c>
      <c r="G92" s="280" t="s">
        <v>132</v>
      </c>
      <c r="H92" s="287">
        <v>0</v>
      </c>
      <c r="I92" s="292">
        <f t="shared" si="18"/>
        <v>0</v>
      </c>
      <c r="J92" s="297" t="s">
        <v>131</v>
      </c>
      <c r="K92" s="282" t="s">
        <v>131</v>
      </c>
      <c r="L92" s="219" t="s">
        <v>131</v>
      </c>
      <c r="M92" s="337" t="s">
        <v>131</v>
      </c>
      <c r="N92" s="332">
        <v>0</v>
      </c>
      <c r="O92" s="337" t="s">
        <v>131</v>
      </c>
      <c r="P92" s="363" t="str">
        <f>IFERROR(INDEX(Data!$B$28:$B$46,MATCH('Rent Roll'!$N92,INDEX(Data!$B$28:$J$46,,MATCH('Rent Roll'!$O92,Data!$B$28:$J$28,0)),-1),1),"NA")</f>
        <v>NA</v>
      </c>
      <c r="Q92" s="280" t="s">
        <v>132</v>
      </c>
      <c r="R92" s="217">
        <v>0</v>
      </c>
      <c r="S92" s="77">
        <f t="shared" si="19"/>
        <v>0</v>
      </c>
      <c r="T92" s="116">
        <f t="shared" si="20"/>
        <v>0</v>
      </c>
      <c r="U92" s="217">
        <v>0</v>
      </c>
      <c r="V92" s="77">
        <f t="shared" si="21"/>
        <v>0</v>
      </c>
      <c r="W92" s="116">
        <f t="shared" si="25"/>
        <v>0</v>
      </c>
      <c r="X92" s="84">
        <f>IFERROR(IF(INDEX(AC$13:AC$17,MATCH($E92,$AB$13:$AB$17,0))&lt;&gt;0,INDEX(AC$13:AC$17,MATCH($E92,$AB$13:$AB$17,0)),
IF($N92="MKT",0,IF($L92="HUD FMR",INDEX(Data!$B$21:$G$21,MATCH($E92,Data!$B$9:$G$9,0))*$N92,INDEX(Data!$B$9:$G$22,MATCH($K92,Data!$B$9:$B$22,0),MATCH($E92,Data!$B$9:$G$9,0))))),0)</f>
        <v>0</v>
      </c>
      <c r="Y92" s="84">
        <f>IFERROR(IF(INDEX(AD$13:AD$17,MATCH($E92,$AB$13:$AB$17,0))&lt;&gt;0,INDEX(AD$13:AD$17,MATCH($E92,$AB$13:$AB$17,0)),
IF($K92="MKT",0,-INDEX(Data!$B$22:$G$22,MATCH($E92,Data!$B$9:$G$9,0)))),0)</f>
        <v>0</v>
      </c>
      <c r="Z92" s="88">
        <f t="shared" si="22"/>
        <v>0</v>
      </c>
      <c r="AA92" s="77">
        <f t="shared" si="23"/>
        <v>0</v>
      </c>
      <c r="AB92" s="116">
        <f t="shared" si="26"/>
        <v>0</v>
      </c>
      <c r="AC92" s="97">
        <f t="shared" si="27"/>
        <v>0</v>
      </c>
      <c r="AD92" s="100">
        <f t="shared" si="24"/>
        <v>0</v>
      </c>
      <c r="AE92" s="116">
        <f t="shared" si="28"/>
        <v>0</v>
      </c>
      <c r="AF92" s="371" t="str">
        <f>IFERROR(IF(AE92=0,"NA",
IF(G92="N",IF(OR(J92="PBV",J92="HCV",(AC92-Y92)&lt;=(INDEX(Data!$C$29:$J$46,MATCH('Rent Roll'!$K92,Data!$B$29:$B$46,0),MATCH($M92,Data!$C$28:$J$28,0))/12*0.3)),"Y","N"),
IF(OR(J92="PBV",J92="HCV",AND((AC92/R92-1)&lt;=0.05,(AC92-Y92)&lt;=(N92/12*0.3))),"Y","N"))),"NA")</f>
        <v>NA</v>
      </c>
    </row>
    <row r="93" spans="2:32" x14ac:dyDescent="0.3">
      <c r="B93" s="271">
        <v>70</v>
      </c>
      <c r="C93" s="268" t="s">
        <v>130</v>
      </c>
      <c r="D93" s="212"/>
      <c r="E93" s="213" t="s">
        <v>131</v>
      </c>
      <c r="F93" s="214">
        <v>0</v>
      </c>
      <c r="G93" s="280" t="s">
        <v>132</v>
      </c>
      <c r="H93" s="287">
        <v>0</v>
      </c>
      <c r="I93" s="292">
        <f t="shared" si="18"/>
        <v>0</v>
      </c>
      <c r="J93" s="297" t="s">
        <v>131</v>
      </c>
      <c r="K93" s="282" t="s">
        <v>131</v>
      </c>
      <c r="L93" s="219" t="s">
        <v>131</v>
      </c>
      <c r="M93" s="337" t="s">
        <v>131</v>
      </c>
      <c r="N93" s="332">
        <v>0</v>
      </c>
      <c r="O93" s="337" t="s">
        <v>131</v>
      </c>
      <c r="P93" s="363" t="str">
        <f>IFERROR(INDEX(Data!$B$28:$B$46,MATCH('Rent Roll'!$N93,INDEX(Data!$B$28:$J$46,,MATCH('Rent Roll'!$O93,Data!$B$28:$J$28,0)),-1),1),"NA")</f>
        <v>NA</v>
      </c>
      <c r="Q93" s="280" t="s">
        <v>132</v>
      </c>
      <c r="R93" s="217">
        <v>0</v>
      </c>
      <c r="S93" s="77">
        <f t="shared" si="19"/>
        <v>0</v>
      </c>
      <c r="T93" s="116">
        <f t="shared" si="20"/>
        <v>0</v>
      </c>
      <c r="U93" s="217">
        <v>0</v>
      </c>
      <c r="V93" s="77">
        <f t="shared" si="21"/>
        <v>0</v>
      </c>
      <c r="W93" s="116">
        <f t="shared" si="25"/>
        <v>0</v>
      </c>
      <c r="X93" s="84">
        <f>IFERROR(IF(INDEX(AC$13:AC$17,MATCH($E93,$AB$13:$AB$17,0))&lt;&gt;0,INDEX(AC$13:AC$17,MATCH($E93,$AB$13:$AB$17,0)),
IF($N93="MKT",0,IF($L93="HUD FMR",INDEX(Data!$B$21:$G$21,MATCH($E93,Data!$B$9:$G$9,0))*$N93,INDEX(Data!$B$9:$G$22,MATCH($K93,Data!$B$9:$B$22,0),MATCH($E93,Data!$B$9:$G$9,0))))),0)</f>
        <v>0</v>
      </c>
      <c r="Y93" s="84">
        <f>IFERROR(IF(INDEX(AD$13:AD$17,MATCH($E93,$AB$13:$AB$17,0))&lt;&gt;0,INDEX(AD$13:AD$17,MATCH($E93,$AB$13:$AB$17,0)),
IF($K93="MKT",0,-INDEX(Data!$B$22:$G$22,MATCH($E93,Data!$B$9:$G$9,0)))),0)</f>
        <v>0</v>
      </c>
      <c r="Z93" s="88">
        <f t="shared" si="22"/>
        <v>0</v>
      </c>
      <c r="AA93" s="77">
        <f t="shared" si="23"/>
        <v>0</v>
      </c>
      <c r="AB93" s="116">
        <f t="shared" si="26"/>
        <v>0</v>
      </c>
      <c r="AC93" s="97">
        <f t="shared" si="27"/>
        <v>0</v>
      </c>
      <c r="AD93" s="100">
        <f t="shared" si="24"/>
        <v>0</v>
      </c>
      <c r="AE93" s="116">
        <f t="shared" si="28"/>
        <v>0</v>
      </c>
      <c r="AF93" s="371" t="str">
        <f>IFERROR(IF(AE93=0,"NA",
IF(G93="N",IF(OR(J93="PBV",J93="HCV",(AC93-Y93)&lt;=(INDEX(Data!$C$29:$J$46,MATCH('Rent Roll'!$K93,Data!$B$29:$B$46,0),MATCH($M93,Data!$C$28:$J$28,0))/12*0.3)),"Y","N"),
IF(OR(J93="PBV",J93="HCV",AND((AC93/R93-1)&lt;=0.05,(AC93-Y93)&lt;=(N93/12*0.3))),"Y","N"))),"NA")</f>
        <v>NA</v>
      </c>
    </row>
    <row r="94" spans="2:32" x14ac:dyDescent="0.3">
      <c r="B94" s="271">
        <v>71</v>
      </c>
      <c r="C94" s="268" t="s">
        <v>130</v>
      </c>
      <c r="D94" s="212"/>
      <c r="E94" s="213" t="s">
        <v>131</v>
      </c>
      <c r="F94" s="214">
        <v>0</v>
      </c>
      <c r="G94" s="280" t="s">
        <v>132</v>
      </c>
      <c r="H94" s="287">
        <v>0</v>
      </c>
      <c r="I94" s="292">
        <f t="shared" si="18"/>
        <v>0</v>
      </c>
      <c r="J94" s="297" t="s">
        <v>131</v>
      </c>
      <c r="K94" s="282" t="s">
        <v>131</v>
      </c>
      <c r="L94" s="219" t="s">
        <v>131</v>
      </c>
      <c r="M94" s="337" t="s">
        <v>131</v>
      </c>
      <c r="N94" s="332">
        <v>0</v>
      </c>
      <c r="O94" s="337" t="s">
        <v>131</v>
      </c>
      <c r="P94" s="363" t="str">
        <f>IFERROR(INDEX(Data!$B$28:$B$46,MATCH('Rent Roll'!$N94,INDEX(Data!$B$28:$J$46,,MATCH('Rent Roll'!$O94,Data!$B$28:$J$28,0)),-1),1),"NA")</f>
        <v>NA</v>
      </c>
      <c r="Q94" s="280" t="s">
        <v>132</v>
      </c>
      <c r="R94" s="217">
        <v>0</v>
      </c>
      <c r="S94" s="77">
        <f t="shared" si="19"/>
        <v>0</v>
      </c>
      <c r="T94" s="116">
        <f t="shared" si="20"/>
        <v>0</v>
      </c>
      <c r="U94" s="217">
        <v>0</v>
      </c>
      <c r="V94" s="77">
        <f t="shared" si="21"/>
        <v>0</v>
      </c>
      <c r="W94" s="116">
        <f t="shared" si="25"/>
        <v>0</v>
      </c>
      <c r="X94" s="84">
        <f>IFERROR(IF(INDEX(AC$13:AC$17,MATCH($E94,$AB$13:$AB$17,0))&lt;&gt;0,INDEX(AC$13:AC$17,MATCH($E94,$AB$13:$AB$17,0)),
IF($N94="MKT",0,IF($L94="HUD FMR",INDEX(Data!$B$21:$G$21,MATCH($E94,Data!$B$9:$G$9,0))*$N94,INDEX(Data!$B$9:$G$22,MATCH($K94,Data!$B$9:$B$22,0),MATCH($E94,Data!$B$9:$G$9,0))))),0)</f>
        <v>0</v>
      </c>
      <c r="Y94" s="84">
        <f>IFERROR(IF(INDEX(AD$13:AD$17,MATCH($E94,$AB$13:$AB$17,0))&lt;&gt;0,INDEX(AD$13:AD$17,MATCH($E94,$AB$13:$AB$17,0)),
IF($K94="MKT",0,-INDEX(Data!$B$22:$G$22,MATCH($E94,Data!$B$9:$G$9,0)))),0)</f>
        <v>0</v>
      </c>
      <c r="Z94" s="88">
        <f t="shared" si="22"/>
        <v>0</v>
      </c>
      <c r="AA94" s="77">
        <f t="shared" si="23"/>
        <v>0</v>
      </c>
      <c r="AB94" s="116">
        <f t="shared" si="26"/>
        <v>0</v>
      </c>
      <c r="AC94" s="97">
        <f t="shared" si="27"/>
        <v>0</v>
      </c>
      <c r="AD94" s="100">
        <f t="shared" si="24"/>
        <v>0</v>
      </c>
      <c r="AE94" s="116">
        <f t="shared" si="28"/>
        <v>0</v>
      </c>
      <c r="AF94" s="371" t="str">
        <f>IFERROR(IF(AE94=0,"NA",
IF(G94="N",IF(OR(J94="PBV",J94="HCV",(AC94-Y94)&lt;=(INDEX(Data!$C$29:$J$46,MATCH('Rent Roll'!$K94,Data!$B$29:$B$46,0),MATCH($M94,Data!$C$28:$J$28,0))/12*0.3)),"Y","N"),
IF(OR(J94="PBV",J94="HCV",AND((AC94/R94-1)&lt;=0.05,(AC94-Y94)&lt;=(N94/12*0.3))),"Y","N"))),"NA")</f>
        <v>NA</v>
      </c>
    </row>
    <row r="95" spans="2:32" x14ac:dyDescent="0.3">
      <c r="B95" s="271">
        <v>72</v>
      </c>
      <c r="C95" s="268" t="s">
        <v>130</v>
      </c>
      <c r="D95" s="212"/>
      <c r="E95" s="213" t="s">
        <v>131</v>
      </c>
      <c r="F95" s="214">
        <v>0</v>
      </c>
      <c r="G95" s="280" t="s">
        <v>132</v>
      </c>
      <c r="H95" s="287">
        <v>0</v>
      </c>
      <c r="I95" s="292">
        <f t="shared" si="18"/>
        <v>0</v>
      </c>
      <c r="J95" s="297" t="s">
        <v>131</v>
      </c>
      <c r="K95" s="282" t="s">
        <v>131</v>
      </c>
      <c r="L95" s="219" t="s">
        <v>131</v>
      </c>
      <c r="M95" s="337" t="s">
        <v>131</v>
      </c>
      <c r="N95" s="332">
        <v>0</v>
      </c>
      <c r="O95" s="337" t="s">
        <v>131</v>
      </c>
      <c r="P95" s="363" t="str">
        <f>IFERROR(INDEX(Data!$B$28:$B$46,MATCH('Rent Roll'!$N95,INDEX(Data!$B$28:$J$46,,MATCH('Rent Roll'!$O95,Data!$B$28:$J$28,0)),-1),1),"NA")</f>
        <v>NA</v>
      </c>
      <c r="Q95" s="280" t="s">
        <v>132</v>
      </c>
      <c r="R95" s="217">
        <v>0</v>
      </c>
      <c r="S95" s="77">
        <f t="shared" si="19"/>
        <v>0</v>
      </c>
      <c r="T95" s="116">
        <f t="shared" si="20"/>
        <v>0</v>
      </c>
      <c r="U95" s="217">
        <v>0</v>
      </c>
      <c r="V95" s="77">
        <f t="shared" si="21"/>
        <v>0</v>
      </c>
      <c r="W95" s="116">
        <f t="shared" si="25"/>
        <v>0</v>
      </c>
      <c r="X95" s="84">
        <f>IFERROR(IF(INDEX(AC$13:AC$17,MATCH($E95,$AB$13:$AB$17,0))&lt;&gt;0,INDEX(AC$13:AC$17,MATCH($E95,$AB$13:$AB$17,0)),
IF($N95="MKT",0,IF($L95="HUD FMR",INDEX(Data!$B$21:$G$21,MATCH($E95,Data!$B$9:$G$9,0))*$N95,INDEX(Data!$B$9:$G$22,MATCH($K95,Data!$B$9:$B$22,0),MATCH($E95,Data!$B$9:$G$9,0))))),0)</f>
        <v>0</v>
      </c>
      <c r="Y95" s="84">
        <f>IFERROR(IF(INDEX(AD$13:AD$17,MATCH($E95,$AB$13:$AB$17,0))&lt;&gt;0,INDEX(AD$13:AD$17,MATCH($E95,$AB$13:$AB$17,0)),
IF($K95="MKT",0,-INDEX(Data!$B$22:$G$22,MATCH($E95,Data!$B$9:$G$9,0)))),0)</f>
        <v>0</v>
      </c>
      <c r="Z95" s="88">
        <f t="shared" si="22"/>
        <v>0</v>
      </c>
      <c r="AA95" s="77">
        <f t="shared" si="23"/>
        <v>0</v>
      </c>
      <c r="AB95" s="116">
        <f t="shared" si="26"/>
        <v>0</v>
      </c>
      <c r="AC95" s="97">
        <f t="shared" si="27"/>
        <v>0</v>
      </c>
      <c r="AD95" s="100">
        <f t="shared" si="24"/>
        <v>0</v>
      </c>
      <c r="AE95" s="116">
        <f t="shared" si="28"/>
        <v>0</v>
      </c>
      <c r="AF95" s="371" t="str">
        <f>IFERROR(IF(AE95=0,"NA",
IF(G95="N",IF(OR(J95="PBV",J95="HCV",(AC95-Y95)&lt;=(INDEX(Data!$C$29:$J$46,MATCH('Rent Roll'!$K95,Data!$B$29:$B$46,0),MATCH($M95,Data!$C$28:$J$28,0))/12*0.3)),"Y","N"),
IF(OR(J95="PBV",J95="HCV",AND((AC95/R95-1)&lt;=0.05,(AC95-Y95)&lt;=(N95/12*0.3))),"Y","N"))),"NA")</f>
        <v>NA</v>
      </c>
    </row>
    <row r="96" spans="2:32" x14ac:dyDescent="0.3">
      <c r="B96" s="271">
        <v>73</v>
      </c>
      <c r="C96" s="268" t="s">
        <v>130</v>
      </c>
      <c r="D96" s="212"/>
      <c r="E96" s="213" t="s">
        <v>131</v>
      </c>
      <c r="F96" s="214">
        <v>0</v>
      </c>
      <c r="G96" s="280" t="s">
        <v>132</v>
      </c>
      <c r="H96" s="287">
        <v>0</v>
      </c>
      <c r="I96" s="292">
        <f t="shared" si="18"/>
        <v>0</v>
      </c>
      <c r="J96" s="297" t="s">
        <v>131</v>
      </c>
      <c r="K96" s="282" t="s">
        <v>131</v>
      </c>
      <c r="L96" s="219" t="s">
        <v>131</v>
      </c>
      <c r="M96" s="337" t="s">
        <v>131</v>
      </c>
      <c r="N96" s="332">
        <v>0</v>
      </c>
      <c r="O96" s="337" t="s">
        <v>131</v>
      </c>
      <c r="P96" s="363" t="str">
        <f>IFERROR(INDEX(Data!$B$28:$B$46,MATCH('Rent Roll'!$N96,INDEX(Data!$B$28:$J$46,,MATCH('Rent Roll'!$O96,Data!$B$28:$J$28,0)),-1),1),"NA")</f>
        <v>NA</v>
      </c>
      <c r="Q96" s="280" t="s">
        <v>132</v>
      </c>
      <c r="R96" s="217">
        <v>0</v>
      </c>
      <c r="S96" s="77">
        <f t="shared" si="19"/>
        <v>0</v>
      </c>
      <c r="T96" s="116">
        <f t="shared" si="20"/>
        <v>0</v>
      </c>
      <c r="U96" s="217">
        <v>0</v>
      </c>
      <c r="V96" s="77">
        <f t="shared" si="21"/>
        <v>0</v>
      </c>
      <c r="W96" s="116">
        <f t="shared" si="25"/>
        <v>0</v>
      </c>
      <c r="X96" s="84">
        <f>IFERROR(IF(INDEX(AC$13:AC$17,MATCH($E96,$AB$13:$AB$17,0))&lt;&gt;0,INDEX(AC$13:AC$17,MATCH($E96,$AB$13:$AB$17,0)),
IF($N96="MKT",0,IF($L96="HUD FMR",INDEX(Data!$B$21:$G$21,MATCH($E96,Data!$B$9:$G$9,0))*$N96,INDEX(Data!$B$9:$G$22,MATCH($K96,Data!$B$9:$B$22,0),MATCH($E96,Data!$B$9:$G$9,0))))),0)</f>
        <v>0</v>
      </c>
      <c r="Y96" s="84">
        <f>IFERROR(IF(INDEX(AD$13:AD$17,MATCH($E96,$AB$13:$AB$17,0))&lt;&gt;0,INDEX(AD$13:AD$17,MATCH($E96,$AB$13:$AB$17,0)),
IF($K96="MKT",0,-INDEX(Data!$B$22:$G$22,MATCH($E96,Data!$B$9:$G$9,0)))),0)</f>
        <v>0</v>
      </c>
      <c r="Z96" s="88">
        <f t="shared" si="22"/>
        <v>0</v>
      </c>
      <c r="AA96" s="77">
        <f t="shared" si="23"/>
        <v>0</v>
      </c>
      <c r="AB96" s="116">
        <f t="shared" si="26"/>
        <v>0</v>
      </c>
      <c r="AC96" s="97">
        <f t="shared" si="27"/>
        <v>0</v>
      </c>
      <c r="AD96" s="100">
        <f t="shared" si="24"/>
        <v>0</v>
      </c>
      <c r="AE96" s="116">
        <f t="shared" si="28"/>
        <v>0</v>
      </c>
      <c r="AF96" s="371" t="str">
        <f>IFERROR(IF(AE96=0,"NA",
IF(G96="N",IF(OR(J96="PBV",J96="HCV",(AC96-Y96)&lt;=(INDEX(Data!$C$29:$J$46,MATCH('Rent Roll'!$K96,Data!$B$29:$B$46,0),MATCH($M96,Data!$C$28:$J$28,0))/12*0.3)),"Y","N"),
IF(OR(J96="PBV",J96="HCV",AND((AC96/R96-1)&lt;=0.05,(AC96-Y96)&lt;=(N96/12*0.3))),"Y","N"))),"NA")</f>
        <v>NA</v>
      </c>
    </row>
    <row r="97" spans="2:32" x14ac:dyDescent="0.3">
      <c r="B97" s="271">
        <v>74</v>
      </c>
      <c r="C97" s="268" t="s">
        <v>130</v>
      </c>
      <c r="D97" s="212"/>
      <c r="E97" s="213" t="s">
        <v>131</v>
      </c>
      <c r="F97" s="214">
        <v>0</v>
      </c>
      <c r="G97" s="280" t="s">
        <v>132</v>
      </c>
      <c r="H97" s="287">
        <v>0</v>
      </c>
      <c r="I97" s="292">
        <f t="shared" si="18"/>
        <v>0</v>
      </c>
      <c r="J97" s="297" t="s">
        <v>131</v>
      </c>
      <c r="K97" s="282" t="s">
        <v>131</v>
      </c>
      <c r="L97" s="219" t="s">
        <v>131</v>
      </c>
      <c r="M97" s="337" t="s">
        <v>131</v>
      </c>
      <c r="N97" s="332">
        <v>0</v>
      </c>
      <c r="O97" s="337" t="s">
        <v>131</v>
      </c>
      <c r="P97" s="363" t="str">
        <f>IFERROR(INDEX(Data!$B$28:$B$46,MATCH('Rent Roll'!$N97,INDEX(Data!$B$28:$J$46,,MATCH('Rent Roll'!$O97,Data!$B$28:$J$28,0)),-1),1),"NA")</f>
        <v>NA</v>
      </c>
      <c r="Q97" s="280" t="s">
        <v>132</v>
      </c>
      <c r="R97" s="217">
        <v>0</v>
      </c>
      <c r="S97" s="77">
        <f t="shared" si="19"/>
        <v>0</v>
      </c>
      <c r="T97" s="116">
        <f t="shared" si="20"/>
        <v>0</v>
      </c>
      <c r="U97" s="217">
        <v>0</v>
      </c>
      <c r="V97" s="77">
        <f t="shared" si="21"/>
        <v>0</v>
      </c>
      <c r="W97" s="116">
        <f t="shared" si="25"/>
        <v>0</v>
      </c>
      <c r="X97" s="84">
        <f>IFERROR(IF(INDEX(AC$13:AC$17,MATCH($E97,$AB$13:$AB$17,0))&lt;&gt;0,INDEX(AC$13:AC$17,MATCH($E97,$AB$13:$AB$17,0)),
IF($N97="MKT",0,IF($L97="HUD FMR",INDEX(Data!$B$21:$G$21,MATCH($E97,Data!$B$9:$G$9,0))*$N97,INDEX(Data!$B$9:$G$22,MATCH($K97,Data!$B$9:$B$22,0),MATCH($E97,Data!$B$9:$G$9,0))))),0)</f>
        <v>0</v>
      </c>
      <c r="Y97" s="84">
        <f>IFERROR(IF(INDEX(AD$13:AD$17,MATCH($E97,$AB$13:$AB$17,0))&lt;&gt;0,INDEX(AD$13:AD$17,MATCH($E97,$AB$13:$AB$17,0)),
IF($K97="MKT",0,-INDEX(Data!$B$22:$G$22,MATCH($E97,Data!$B$9:$G$9,0)))),0)</f>
        <v>0</v>
      </c>
      <c r="Z97" s="88">
        <f t="shared" si="22"/>
        <v>0</v>
      </c>
      <c r="AA97" s="77">
        <f t="shared" si="23"/>
        <v>0</v>
      </c>
      <c r="AB97" s="116">
        <f t="shared" si="26"/>
        <v>0</v>
      </c>
      <c r="AC97" s="97">
        <f t="shared" si="27"/>
        <v>0</v>
      </c>
      <c r="AD97" s="100">
        <f t="shared" si="24"/>
        <v>0</v>
      </c>
      <c r="AE97" s="116">
        <f t="shared" si="28"/>
        <v>0</v>
      </c>
      <c r="AF97" s="371" t="str">
        <f>IFERROR(IF(AE97=0,"NA",
IF(G97="N",IF(OR(J97="PBV",J97="HCV",(AC97-Y97)&lt;=(INDEX(Data!$C$29:$J$46,MATCH('Rent Roll'!$K97,Data!$B$29:$B$46,0),MATCH($M97,Data!$C$28:$J$28,0))/12*0.3)),"Y","N"),
IF(OR(J97="PBV",J97="HCV",AND((AC97/R97-1)&lt;=0.05,(AC97-Y97)&lt;=(N97/12*0.3))),"Y","N"))),"NA")</f>
        <v>NA</v>
      </c>
    </row>
    <row r="98" spans="2:32" x14ac:dyDescent="0.3">
      <c r="B98" s="271">
        <v>75</v>
      </c>
      <c r="C98" s="268" t="s">
        <v>130</v>
      </c>
      <c r="D98" s="212"/>
      <c r="E98" s="213" t="s">
        <v>131</v>
      </c>
      <c r="F98" s="214">
        <v>0</v>
      </c>
      <c r="G98" s="280" t="s">
        <v>132</v>
      </c>
      <c r="H98" s="287">
        <v>0</v>
      </c>
      <c r="I98" s="292">
        <f t="shared" si="18"/>
        <v>0</v>
      </c>
      <c r="J98" s="297" t="s">
        <v>131</v>
      </c>
      <c r="K98" s="282" t="s">
        <v>131</v>
      </c>
      <c r="L98" s="219" t="s">
        <v>131</v>
      </c>
      <c r="M98" s="337" t="s">
        <v>131</v>
      </c>
      <c r="N98" s="332">
        <v>0</v>
      </c>
      <c r="O98" s="337" t="s">
        <v>131</v>
      </c>
      <c r="P98" s="363" t="str">
        <f>IFERROR(INDEX(Data!$B$28:$B$46,MATCH('Rent Roll'!$N98,INDEX(Data!$B$28:$J$46,,MATCH('Rent Roll'!$O98,Data!$B$28:$J$28,0)),-1),1),"NA")</f>
        <v>NA</v>
      </c>
      <c r="Q98" s="280" t="s">
        <v>132</v>
      </c>
      <c r="R98" s="217">
        <v>0</v>
      </c>
      <c r="S98" s="77">
        <f t="shared" si="19"/>
        <v>0</v>
      </c>
      <c r="T98" s="116">
        <f t="shared" si="20"/>
        <v>0</v>
      </c>
      <c r="U98" s="217">
        <v>0</v>
      </c>
      <c r="V98" s="77">
        <f t="shared" si="21"/>
        <v>0</v>
      </c>
      <c r="W98" s="116">
        <f t="shared" si="25"/>
        <v>0</v>
      </c>
      <c r="X98" s="84">
        <f>IFERROR(IF(INDEX(AC$13:AC$17,MATCH($E98,$AB$13:$AB$17,0))&lt;&gt;0,INDEX(AC$13:AC$17,MATCH($E98,$AB$13:$AB$17,0)),
IF($N98="MKT",0,IF($L98="HUD FMR",INDEX(Data!$B$21:$G$21,MATCH($E98,Data!$B$9:$G$9,0))*$N98,INDEX(Data!$B$9:$G$22,MATCH($K98,Data!$B$9:$B$22,0),MATCH($E98,Data!$B$9:$G$9,0))))),0)</f>
        <v>0</v>
      </c>
      <c r="Y98" s="84">
        <f>IFERROR(IF(INDEX(AD$13:AD$17,MATCH($E98,$AB$13:$AB$17,0))&lt;&gt;0,INDEX(AD$13:AD$17,MATCH($E98,$AB$13:$AB$17,0)),
IF($K98="MKT",0,-INDEX(Data!$B$22:$G$22,MATCH($E98,Data!$B$9:$G$9,0)))),0)</f>
        <v>0</v>
      </c>
      <c r="Z98" s="88">
        <f t="shared" si="22"/>
        <v>0</v>
      </c>
      <c r="AA98" s="77">
        <f t="shared" si="23"/>
        <v>0</v>
      </c>
      <c r="AB98" s="116">
        <f t="shared" si="26"/>
        <v>0</v>
      </c>
      <c r="AC98" s="97">
        <f t="shared" si="27"/>
        <v>0</v>
      </c>
      <c r="AD98" s="100">
        <f t="shared" si="24"/>
        <v>0</v>
      </c>
      <c r="AE98" s="116">
        <f t="shared" si="28"/>
        <v>0</v>
      </c>
      <c r="AF98" s="371" t="str">
        <f>IFERROR(IF(AE98=0,"NA",
IF(G98="N",IF(OR(J98="PBV",J98="HCV",(AC98-Y98)&lt;=(INDEX(Data!$C$29:$J$46,MATCH('Rent Roll'!$K98,Data!$B$29:$B$46,0),MATCH($M98,Data!$C$28:$J$28,0))/12*0.3)),"Y","N"),
IF(OR(J98="PBV",J98="HCV",AND((AC98/R98-1)&lt;=0.05,(AC98-Y98)&lt;=(N98/12*0.3))),"Y","N"))),"NA")</f>
        <v>NA</v>
      </c>
    </row>
    <row r="99" spans="2:32" x14ac:dyDescent="0.3">
      <c r="B99" s="271">
        <v>76</v>
      </c>
      <c r="C99" s="268" t="s">
        <v>130</v>
      </c>
      <c r="D99" s="212"/>
      <c r="E99" s="213" t="s">
        <v>131</v>
      </c>
      <c r="F99" s="214">
        <v>0</v>
      </c>
      <c r="G99" s="280" t="s">
        <v>132</v>
      </c>
      <c r="H99" s="287">
        <v>0</v>
      </c>
      <c r="I99" s="292">
        <f t="shared" si="18"/>
        <v>0</v>
      </c>
      <c r="J99" s="297" t="s">
        <v>131</v>
      </c>
      <c r="K99" s="282" t="s">
        <v>131</v>
      </c>
      <c r="L99" s="219" t="s">
        <v>131</v>
      </c>
      <c r="M99" s="337" t="s">
        <v>131</v>
      </c>
      <c r="N99" s="332">
        <v>0</v>
      </c>
      <c r="O99" s="337" t="s">
        <v>131</v>
      </c>
      <c r="P99" s="363" t="str">
        <f>IFERROR(INDEX(Data!$B$28:$B$46,MATCH('Rent Roll'!$N99,INDEX(Data!$B$28:$J$46,,MATCH('Rent Roll'!$O99,Data!$B$28:$J$28,0)),-1),1),"NA")</f>
        <v>NA</v>
      </c>
      <c r="Q99" s="280" t="s">
        <v>132</v>
      </c>
      <c r="R99" s="217">
        <v>0</v>
      </c>
      <c r="S99" s="77">
        <f t="shared" si="19"/>
        <v>0</v>
      </c>
      <c r="T99" s="116">
        <f t="shared" si="20"/>
        <v>0</v>
      </c>
      <c r="U99" s="217">
        <v>0</v>
      </c>
      <c r="V99" s="77">
        <f t="shared" si="21"/>
        <v>0</v>
      </c>
      <c r="W99" s="116">
        <f t="shared" si="25"/>
        <v>0</v>
      </c>
      <c r="X99" s="84">
        <f>IFERROR(IF(INDEX(AC$13:AC$17,MATCH($E99,$AB$13:$AB$17,0))&lt;&gt;0,INDEX(AC$13:AC$17,MATCH($E99,$AB$13:$AB$17,0)),
IF($N99="MKT",0,IF($L99="HUD FMR",INDEX(Data!$B$21:$G$21,MATCH($E99,Data!$B$9:$G$9,0))*$N99,INDEX(Data!$B$9:$G$22,MATCH($K99,Data!$B$9:$B$22,0),MATCH($E99,Data!$B$9:$G$9,0))))),0)</f>
        <v>0</v>
      </c>
      <c r="Y99" s="84">
        <f>IFERROR(IF(INDEX(AD$13:AD$17,MATCH($E99,$AB$13:$AB$17,0))&lt;&gt;0,INDEX(AD$13:AD$17,MATCH($E99,$AB$13:$AB$17,0)),
IF($K99="MKT",0,-INDEX(Data!$B$22:$G$22,MATCH($E99,Data!$B$9:$G$9,0)))),0)</f>
        <v>0</v>
      </c>
      <c r="Z99" s="88">
        <f t="shared" si="22"/>
        <v>0</v>
      </c>
      <c r="AA99" s="77">
        <f t="shared" si="23"/>
        <v>0</v>
      </c>
      <c r="AB99" s="116">
        <f t="shared" si="26"/>
        <v>0</v>
      </c>
      <c r="AC99" s="97">
        <f t="shared" si="27"/>
        <v>0</v>
      </c>
      <c r="AD99" s="100">
        <f t="shared" si="24"/>
        <v>0</v>
      </c>
      <c r="AE99" s="116">
        <f t="shared" si="28"/>
        <v>0</v>
      </c>
      <c r="AF99" s="371" t="str">
        <f>IFERROR(IF(AE99=0,"NA",
IF(G99="N",IF(OR(J99="PBV",J99="HCV",(AC99-Y99)&lt;=(INDEX(Data!$C$29:$J$46,MATCH('Rent Roll'!$K99,Data!$B$29:$B$46,0),MATCH($M99,Data!$C$28:$J$28,0))/12*0.3)),"Y","N"),
IF(OR(J99="PBV",J99="HCV",AND((AC99/R99-1)&lt;=0.05,(AC99-Y99)&lt;=(N99/12*0.3))),"Y","N"))),"NA")</f>
        <v>NA</v>
      </c>
    </row>
    <row r="100" spans="2:32" x14ac:dyDescent="0.3">
      <c r="B100" s="271">
        <v>77</v>
      </c>
      <c r="C100" s="268" t="s">
        <v>130</v>
      </c>
      <c r="D100" s="212"/>
      <c r="E100" s="213" t="s">
        <v>131</v>
      </c>
      <c r="F100" s="214">
        <v>0</v>
      </c>
      <c r="G100" s="280" t="s">
        <v>132</v>
      </c>
      <c r="H100" s="287">
        <v>0</v>
      </c>
      <c r="I100" s="292">
        <f t="shared" si="18"/>
        <v>0</v>
      </c>
      <c r="J100" s="297" t="s">
        <v>131</v>
      </c>
      <c r="K100" s="282" t="s">
        <v>131</v>
      </c>
      <c r="L100" s="219" t="s">
        <v>131</v>
      </c>
      <c r="M100" s="337" t="s">
        <v>131</v>
      </c>
      <c r="N100" s="332">
        <v>0</v>
      </c>
      <c r="O100" s="337" t="s">
        <v>131</v>
      </c>
      <c r="P100" s="363" t="str">
        <f>IFERROR(INDEX(Data!$B$28:$B$46,MATCH('Rent Roll'!$N100,INDEX(Data!$B$28:$J$46,,MATCH('Rent Roll'!$O100,Data!$B$28:$J$28,0)),-1),1),"NA")</f>
        <v>NA</v>
      </c>
      <c r="Q100" s="280" t="s">
        <v>132</v>
      </c>
      <c r="R100" s="217">
        <v>0</v>
      </c>
      <c r="S100" s="77">
        <f t="shared" si="19"/>
        <v>0</v>
      </c>
      <c r="T100" s="116">
        <f t="shared" si="20"/>
        <v>0</v>
      </c>
      <c r="U100" s="217">
        <v>0</v>
      </c>
      <c r="V100" s="77">
        <f t="shared" si="21"/>
        <v>0</v>
      </c>
      <c r="W100" s="116">
        <f t="shared" si="25"/>
        <v>0</v>
      </c>
      <c r="X100" s="84">
        <f>IFERROR(IF(INDEX(AC$13:AC$17,MATCH($E100,$AB$13:$AB$17,0))&lt;&gt;0,INDEX(AC$13:AC$17,MATCH($E100,$AB$13:$AB$17,0)),
IF($N100="MKT",0,IF($L100="HUD FMR",INDEX(Data!$B$21:$G$21,MATCH($E100,Data!$B$9:$G$9,0))*$N100,INDEX(Data!$B$9:$G$22,MATCH($K100,Data!$B$9:$B$22,0),MATCH($E100,Data!$B$9:$G$9,0))))),0)</f>
        <v>0</v>
      </c>
      <c r="Y100" s="84">
        <f>IFERROR(IF(INDEX(AD$13:AD$17,MATCH($E100,$AB$13:$AB$17,0))&lt;&gt;0,INDEX(AD$13:AD$17,MATCH($E100,$AB$13:$AB$17,0)),
IF($K100="MKT",0,-INDEX(Data!$B$22:$G$22,MATCH($E100,Data!$B$9:$G$9,0)))),0)</f>
        <v>0</v>
      </c>
      <c r="Z100" s="88">
        <f t="shared" si="22"/>
        <v>0</v>
      </c>
      <c r="AA100" s="77">
        <f t="shared" si="23"/>
        <v>0</v>
      </c>
      <c r="AB100" s="116">
        <f t="shared" si="26"/>
        <v>0</v>
      </c>
      <c r="AC100" s="97">
        <f t="shared" si="27"/>
        <v>0</v>
      </c>
      <c r="AD100" s="100">
        <f t="shared" si="24"/>
        <v>0</v>
      </c>
      <c r="AE100" s="116">
        <f t="shared" si="28"/>
        <v>0</v>
      </c>
      <c r="AF100" s="371" t="str">
        <f>IFERROR(IF(AE100=0,"NA",
IF(G100="N",IF(OR(J100="PBV",J100="HCV",(AC100-Y100)&lt;=(INDEX(Data!$C$29:$J$46,MATCH('Rent Roll'!$K100,Data!$B$29:$B$46,0),MATCH($M100,Data!$C$28:$J$28,0))/12*0.3)),"Y","N"),
IF(OR(J100="PBV",J100="HCV",AND((AC100/R100-1)&lt;=0.05,(AC100-Y100)&lt;=(N100/12*0.3))),"Y","N"))),"NA")</f>
        <v>NA</v>
      </c>
    </row>
    <row r="101" spans="2:32" x14ac:dyDescent="0.3">
      <c r="B101" s="271">
        <v>78</v>
      </c>
      <c r="C101" s="268" t="s">
        <v>130</v>
      </c>
      <c r="D101" s="212"/>
      <c r="E101" s="213" t="s">
        <v>131</v>
      </c>
      <c r="F101" s="214">
        <v>0</v>
      </c>
      <c r="G101" s="280" t="s">
        <v>132</v>
      </c>
      <c r="H101" s="287">
        <v>0</v>
      </c>
      <c r="I101" s="292">
        <f t="shared" si="18"/>
        <v>0</v>
      </c>
      <c r="J101" s="297" t="s">
        <v>131</v>
      </c>
      <c r="K101" s="282" t="s">
        <v>131</v>
      </c>
      <c r="L101" s="219" t="s">
        <v>131</v>
      </c>
      <c r="M101" s="337" t="s">
        <v>131</v>
      </c>
      <c r="N101" s="332">
        <v>0</v>
      </c>
      <c r="O101" s="337" t="s">
        <v>131</v>
      </c>
      <c r="P101" s="363" t="str">
        <f>IFERROR(INDEX(Data!$B$28:$B$46,MATCH('Rent Roll'!$N101,INDEX(Data!$B$28:$J$46,,MATCH('Rent Roll'!$O101,Data!$B$28:$J$28,0)),-1),1),"NA")</f>
        <v>NA</v>
      </c>
      <c r="Q101" s="280" t="s">
        <v>132</v>
      </c>
      <c r="R101" s="217">
        <v>0</v>
      </c>
      <c r="S101" s="77">
        <f t="shared" si="19"/>
        <v>0</v>
      </c>
      <c r="T101" s="116">
        <f t="shared" si="20"/>
        <v>0</v>
      </c>
      <c r="U101" s="217">
        <v>0</v>
      </c>
      <c r="V101" s="77">
        <f t="shared" si="21"/>
        <v>0</v>
      </c>
      <c r="W101" s="116">
        <f t="shared" si="25"/>
        <v>0</v>
      </c>
      <c r="X101" s="84">
        <f>IFERROR(IF(INDEX(AC$13:AC$17,MATCH($E101,$AB$13:$AB$17,0))&lt;&gt;0,INDEX(AC$13:AC$17,MATCH($E101,$AB$13:$AB$17,0)),
IF($N101="MKT",0,IF($L101="HUD FMR",INDEX(Data!$B$21:$G$21,MATCH($E101,Data!$B$9:$G$9,0))*$N101,INDEX(Data!$B$9:$G$22,MATCH($K101,Data!$B$9:$B$22,0),MATCH($E101,Data!$B$9:$G$9,0))))),0)</f>
        <v>0</v>
      </c>
      <c r="Y101" s="84">
        <f>IFERROR(IF(INDEX(AD$13:AD$17,MATCH($E101,$AB$13:$AB$17,0))&lt;&gt;0,INDEX(AD$13:AD$17,MATCH($E101,$AB$13:$AB$17,0)),
IF($K101="MKT",0,-INDEX(Data!$B$22:$G$22,MATCH($E101,Data!$B$9:$G$9,0)))),0)</f>
        <v>0</v>
      </c>
      <c r="Z101" s="88">
        <f t="shared" si="22"/>
        <v>0</v>
      </c>
      <c r="AA101" s="77">
        <f t="shared" si="23"/>
        <v>0</v>
      </c>
      <c r="AB101" s="116">
        <f t="shared" si="26"/>
        <v>0</v>
      </c>
      <c r="AC101" s="97">
        <f t="shared" si="27"/>
        <v>0</v>
      </c>
      <c r="AD101" s="100">
        <f t="shared" si="24"/>
        <v>0</v>
      </c>
      <c r="AE101" s="116">
        <f t="shared" si="28"/>
        <v>0</v>
      </c>
      <c r="AF101" s="371" t="str">
        <f>IFERROR(IF(AE101=0,"NA",
IF(G101="N",IF(OR(J101="PBV",J101="HCV",(AC101-Y101)&lt;=(INDEX(Data!$C$29:$J$46,MATCH('Rent Roll'!$K101,Data!$B$29:$B$46,0),MATCH($M101,Data!$C$28:$J$28,0))/12*0.3)),"Y","N"),
IF(OR(J101="PBV",J101="HCV",AND((AC101/R101-1)&lt;=0.05,(AC101-Y101)&lt;=(N101/12*0.3))),"Y","N"))),"NA")</f>
        <v>NA</v>
      </c>
    </row>
    <row r="102" spans="2:32" x14ac:dyDescent="0.3">
      <c r="B102" s="271">
        <v>79</v>
      </c>
      <c r="C102" s="268" t="s">
        <v>130</v>
      </c>
      <c r="D102" s="212"/>
      <c r="E102" s="213" t="s">
        <v>131</v>
      </c>
      <c r="F102" s="214">
        <v>0</v>
      </c>
      <c r="G102" s="280" t="s">
        <v>132</v>
      </c>
      <c r="H102" s="287">
        <v>0</v>
      </c>
      <c r="I102" s="292">
        <f t="shared" si="18"/>
        <v>0</v>
      </c>
      <c r="J102" s="297" t="s">
        <v>131</v>
      </c>
      <c r="K102" s="282" t="s">
        <v>131</v>
      </c>
      <c r="L102" s="219" t="s">
        <v>131</v>
      </c>
      <c r="M102" s="337" t="s">
        <v>131</v>
      </c>
      <c r="N102" s="332">
        <v>0</v>
      </c>
      <c r="O102" s="337" t="s">
        <v>131</v>
      </c>
      <c r="P102" s="363" t="str">
        <f>IFERROR(INDEX(Data!$B$28:$B$46,MATCH('Rent Roll'!$N102,INDEX(Data!$B$28:$J$46,,MATCH('Rent Roll'!$O102,Data!$B$28:$J$28,0)),-1),1),"NA")</f>
        <v>NA</v>
      </c>
      <c r="Q102" s="280" t="s">
        <v>132</v>
      </c>
      <c r="R102" s="217">
        <v>0</v>
      </c>
      <c r="S102" s="77">
        <f t="shared" si="19"/>
        <v>0</v>
      </c>
      <c r="T102" s="116">
        <f t="shared" si="20"/>
        <v>0</v>
      </c>
      <c r="U102" s="217">
        <v>0</v>
      </c>
      <c r="V102" s="77">
        <f t="shared" si="21"/>
        <v>0</v>
      </c>
      <c r="W102" s="116">
        <f t="shared" si="25"/>
        <v>0</v>
      </c>
      <c r="X102" s="84">
        <f>IFERROR(IF(INDEX(AC$13:AC$17,MATCH($E102,$AB$13:$AB$17,0))&lt;&gt;0,INDEX(AC$13:AC$17,MATCH($E102,$AB$13:$AB$17,0)),
IF($N102="MKT",0,IF($L102="HUD FMR",INDEX(Data!$B$21:$G$21,MATCH($E102,Data!$B$9:$G$9,0))*$N102,INDEX(Data!$B$9:$G$22,MATCH($K102,Data!$B$9:$B$22,0),MATCH($E102,Data!$B$9:$G$9,0))))),0)</f>
        <v>0</v>
      </c>
      <c r="Y102" s="84">
        <f>IFERROR(IF(INDEX(AD$13:AD$17,MATCH($E102,$AB$13:$AB$17,0))&lt;&gt;0,INDEX(AD$13:AD$17,MATCH($E102,$AB$13:$AB$17,0)),
IF($K102="MKT",0,-INDEX(Data!$B$22:$G$22,MATCH($E102,Data!$B$9:$G$9,0)))),0)</f>
        <v>0</v>
      </c>
      <c r="Z102" s="88">
        <f t="shared" si="22"/>
        <v>0</v>
      </c>
      <c r="AA102" s="77">
        <f t="shared" si="23"/>
        <v>0</v>
      </c>
      <c r="AB102" s="116">
        <f t="shared" si="26"/>
        <v>0</v>
      </c>
      <c r="AC102" s="97">
        <f t="shared" si="27"/>
        <v>0</v>
      </c>
      <c r="AD102" s="100">
        <f t="shared" si="24"/>
        <v>0</v>
      </c>
      <c r="AE102" s="116">
        <f t="shared" si="28"/>
        <v>0</v>
      </c>
      <c r="AF102" s="371" t="str">
        <f>IFERROR(IF(AE102=0,"NA",
IF(G102="N",IF(OR(J102="PBV",J102="HCV",(AC102-Y102)&lt;=(INDEX(Data!$C$29:$J$46,MATCH('Rent Roll'!$K102,Data!$B$29:$B$46,0),MATCH($M102,Data!$C$28:$J$28,0))/12*0.3)),"Y","N"),
IF(OR(J102="PBV",J102="HCV",AND((AC102/R102-1)&lt;=0.05,(AC102-Y102)&lt;=(N102/12*0.3))),"Y","N"))),"NA")</f>
        <v>NA</v>
      </c>
    </row>
    <row r="103" spans="2:32" x14ac:dyDescent="0.3">
      <c r="B103" s="271">
        <v>80</v>
      </c>
      <c r="C103" s="268" t="s">
        <v>130</v>
      </c>
      <c r="D103" s="212"/>
      <c r="E103" s="213" t="s">
        <v>131</v>
      </c>
      <c r="F103" s="214">
        <v>0</v>
      </c>
      <c r="G103" s="280" t="s">
        <v>132</v>
      </c>
      <c r="H103" s="287">
        <v>0</v>
      </c>
      <c r="I103" s="292">
        <f t="shared" si="18"/>
        <v>0</v>
      </c>
      <c r="J103" s="297" t="s">
        <v>131</v>
      </c>
      <c r="K103" s="282" t="s">
        <v>131</v>
      </c>
      <c r="L103" s="219" t="s">
        <v>131</v>
      </c>
      <c r="M103" s="337" t="s">
        <v>131</v>
      </c>
      <c r="N103" s="332">
        <v>0</v>
      </c>
      <c r="O103" s="337" t="s">
        <v>131</v>
      </c>
      <c r="P103" s="363" t="str">
        <f>IFERROR(INDEX(Data!$B$28:$B$46,MATCH('Rent Roll'!$N103,INDEX(Data!$B$28:$J$46,,MATCH('Rent Roll'!$O103,Data!$B$28:$J$28,0)),-1),1),"NA")</f>
        <v>NA</v>
      </c>
      <c r="Q103" s="280" t="s">
        <v>132</v>
      </c>
      <c r="R103" s="217">
        <v>0</v>
      </c>
      <c r="S103" s="77">
        <f t="shared" si="19"/>
        <v>0</v>
      </c>
      <c r="T103" s="116">
        <f t="shared" si="20"/>
        <v>0</v>
      </c>
      <c r="U103" s="217">
        <v>0</v>
      </c>
      <c r="V103" s="77">
        <f t="shared" si="21"/>
        <v>0</v>
      </c>
      <c r="W103" s="116">
        <f t="shared" si="25"/>
        <v>0</v>
      </c>
      <c r="X103" s="84">
        <f>IFERROR(IF(INDEX(AC$13:AC$17,MATCH($E103,$AB$13:$AB$17,0))&lt;&gt;0,INDEX(AC$13:AC$17,MATCH($E103,$AB$13:$AB$17,0)),
IF($N103="MKT",0,IF($L103="HUD FMR",INDEX(Data!$B$21:$G$21,MATCH($E103,Data!$B$9:$G$9,0))*$N103,INDEX(Data!$B$9:$G$22,MATCH($K103,Data!$B$9:$B$22,0),MATCH($E103,Data!$B$9:$G$9,0))))),0)</f>
        <v>0</v>
      </c>
      <c r="Y103" s="84">
        <f>IFERROR(IF(INDEX(AD$13:AD$17,MATCH($E103,$AB$13:$AB$17,0))&lt;&gt;0,INDEX(AD$13:AD$17,MATCH($E103,$AB$13:$AB$17,0)),
IF($K103="MKT",0,-INDEX(Data!$B$22:$G$22,MATCH($E103,Data!$B$9:$G$9,0)))),0)</f>
        <v>0</v>
      </c>
      <c r="Z103" s="88">
        <f t="shared" si="22"/>
        <v>0</v>
      </c>
      <c r="AA103" s="77">
        <f t="shared" si="23"/>
        <v>0</v>
      </c>
      <c r="AB103" s="116">
        <f t="shared" si="26"/>
        <v>0</v>
      </c>
      <c r="AC103" s="97">
        <f t="shared" si="27"/>
        <v>0</v>
      </c>
      <c r="AD103" s="100">
        <f t="shared" si="24"/>
        <v>0</v>
      </c>
      <c r="AE103" s="116">
        <f t="shared" si="28"/>
        <v>0</v>
      </c>
      <c r="AF103" s="371" t="str">
        <f>IFERROR(IF(AE103=0,"NA",
IF(G103="N",IF(OR(J103="PBV",J103="HCV",(AC103-Y103)&lt;=(INDEX(Data!$C$29:$J$46,MATCH('Rent Roll'!$K103,Data!$B$29:$B$46,0),MATCH($M103,Data!$C$28:$J$28,0))/12*0.3)),"Y","N"),
IF(OR(J103="PBV",J103="HCV",AND((AC103/R103-1)&lt;=0.05,(AC103-Y103)&lt;=(N103/12*0.3))),"Y","N"))),"NA")</f>
        <v>NA</v>
      </c>
    </row>
    <row r="104" spans="2:32" x14ac:dyDescent="0.3">
      <c r="B104" s="271">
        <v>81</v>
      </c>
      <c r="C104" s="268" t="s">
        <v>130</v>
      </c>
      <c r="D104" s="212"/>
      <c r="E104" s="213" t="s">
        <v>131</v>
      </c>
      <c r="F104" s="214">
        <v>0</v>
      </c>
      <c r="G104" s="280" t="s">
        <v>132</v>
      </c>
      <c r="H104" s="287">
        <v>0</v>
      </c>
      <c r="I104" s="292">
        <f t="shared" si="18"/>
        <v>0</v>
      </c>
      <c r="J104" s="297" t="s">
        <v>131</v>
      </c>
      <c r="K104" s="282" t="s">
        <v>131</v>
      </c>
      <c r="L104" s="219" t="s">
        <v>131</v>
      </c>
      <c r="M104" s="337" t="s">
        <v>131</v>
      </c>
      <c r="N104" s="332">
        <v>0</v>
      </c>
      <c r="O104" s="337" t="s">
        <v>131</v>
      </c>
      <c r="P104" s="363" t="str">
        <f>IFERROR(INDEX(Data!$B$28:$B$46,MATCH('Rent Roll'!$N104,INDEX(Data!$B$28:$J$46,,MATCH('Rent Roll'!$O104,Data!$B$28:$J$28,0)),-1),1),"NA")</f>
        <v>NA</v>
      </c>
      <c r="Q104" s="280" t="s">
        <v>132</v>
      </c>
      <c r="R104" s="217">
        <v>0</v>
      </c>
      <c r="S104" s="77">
        <f t="shared" si="19"/>
        <v>0</v>
      </c>
      <c r="T104" s="116">
        <f t="shared" si="20"/>
        <v>0</v>
      </c>
      <c r="U104" s="217">
        <v>0</v>
      </c>
      <c r="V104" s="77">
        <f t="shared" si="21"/>
        <v>0</v>
      </c>
      <c r="W104" s="116">
        <f t="shared" si="25"/>
        <v>0</v>
      </c>
      <c r="X104" s="84">
        <f>IFERROR(IF(INDEX(AC$13:AC$17,MATCH($E104,$AB$13:$AB$17,0))&lt;&gt;0,INDEX(AC$13:AC$17,MATCH($E104,$AB$13:$AB$17,0)),
IF($N104="MKT",0,IF($L104="HUD FMR",INDEX(Data!$B$21:$G$21,MATCH($E104,Data!$B$9:$G$9,0))*$N104,INDEX(Data!$B$9:$G$22,MATCH($K104,Data!$B$9:$B$22,0),MATCH($E104,Data!$B$9:$G$9,0))))),0)</f>
        <v>0</v>
      </c>
      <c r="Y104" s="84">
        <f>IFERROR(IF(INDEX(AD$13:AD$17,MATCH($E104,$AB$13:$AB$17,0))&lt;&gt;0,INDEX(AD$13:AD$17,MATCH($E104,$AB$13:$AB$17,0)),
IF($K104="MKT",0,-INDEX(Data!$B$22:$G$22,MATCH($E104,Data!$B$9:$G$9,0)))),0)</f>
        <v>0</v>
      </c>
      <c r="Z104" s="88">
        <f t="shared" si="22"/>
        <v>0</v>
      </c>
      <c r="AA104" s="77">
        <f t="shared" si="23"/>
        <v>0</v>
      </c>
      <c r="AB104" s="116">
        <f t="shared" si="26"/>
        <v>0</v>
      </c>
      <c r="AC104" s="97">
        <f t="shared" si="27"/>
        <v>0</v>
      </c>
      <c r="AD104" s="100">
        <f t="shared" si="24"/>
        <v>0</v>
      </c>
      <c r="AE104" s="116">
        <f t="shared" si="28"/>
        <v>0</v>
      </c>
      <c r="AF104" s="371" t="str">
        <f>IFERROR(IF(AE104=0,"NA",
IF(G104="N",IF(OR(J104="PBV",J104="HCV",(AC104-Y104)&lt;=(INDEX(Data!$C$29:$J$46,MATCH('Rent Roll'!$K104,Data!$B$29:$B$46,0),MATCH($M104,Data!$C$28:$J$28,0))/12*0.3)),"Y","N"),
IF(OR(J104="PBV",J104="HCV",AND((AC104/R104-1)&lt;=0.05,(AC104-Y104)&lt;=(N104/12*0.3))),"Y","N"))),"NA")</f>
        <v>NA</v>
      </c>
    </row>
    <row r="105" spans="2:32" x14ac:dyDescent="0.3">
      <c r="B105" s="271">
        <v>82</v>
      </c>
      <c r="C105" s="268" t="s">
        <v>130</v>
      </c>
      <c r="D105" s="212"/>
      <c r="E105" s="213" t="s">
        <v>131</v>
      </c>
      <c r="F105" s="214">
        <v>0</v>
      </c>
      <c r="G105" s="280" t="s">
        <v>132</v>
      </c>
      <c r="H105" s="287">
        <v>0</v>
      </c>
      <c r="I105" s="292">
        <f t="shared" si="18"/>
        <v>0</v>
      </c>
      <c r="J105" s="297" t="s">
        <v>131</v>
      </c>
      <c r="K105" s="282" t="s">
        <v>131</v>
      </c>
      <c r="L105" s="219" t="s">
        <v>131</v>
      </c>
      <c r="M105" s="337" t="s">
        <v>131</v>
      </c>
      <c r="N105" s="332">
        <v>0</v>
      </c>
      <c r="O105" s="337" t="s">
        <v>131</v>
      </c>
      <c r="P105" s="363" t="str">
        <f>IFERROR(INDEX(Data!$B$28:$B$46,MATCH('Rent Roll'!$N105,INDEX(Data!$B$28:$J$46,,MATCH('Rent Roll'!$O105,Data!$B$28:$J$28,0)),-1),1),"NA")</f>
        <v>NA</v>
      </c>
      <c r="Q105" s="280" t="s">
        <v>132</v>
      </c>
      <c r="R105" s="217">
        <v>0</v>
      </c>
      <c r="S105" s="77">
        <f t="shared" si="19"/>
        <v>0</v>
      </c>
      <c r="T105" s="116">
        <f t="shared" si="20"/>
        <v>0</v>
      </c>
      <c r="U105" s="217">
        <v>0</v>
      </c>
      <c r="V105" s="77">
        <f t="shared" si="21"/>
        <v>0</v>
      </c>
      <c r="W105" s="116">
        <f t="shared" si="25"/>
        <v>0</v>
      </c>
      <c r="X105" s="84">
        <f>IFERROR(IF(INDEX(AC$13:AC$17,MATCH($E105,$AB$13:$AB$17,0))&lt;&gt;0,INDEX(AC$13:AC$17,MATCH($E105,$AB$13:$AB$17,0)),
IF($N105="MKT",0,IF($L105="HUD FMR",INDEX(Data!$B$21:$G$21,MATCH($E105,Data!$B$9:$G$9,0))*$N105,INDEX(Data!$B$9:$G$22,MATCH($K105,Data!$B$9:$B$22,0),MATCH($E105,Data!$B$9:$G$9,0))))),0)</f>
        <v>0</v>
      </c>
      <c r="Y105" s="84">
        <f>IFERROR(IF(INDEX(AD$13:AD$17,MATCH($E105,$AB$13:$AB$17,0))&lt;&gt;0,INDEX(AD$13:AD$17,MATCH($E105,$AB$13:$AB$17,0)),
IF($K105="MKT",0,-INDEX(Data!$B$22:$G$22,MATCH($E105,Data!$B$9:$G$9,0)))),0)</f>
        <v>0</v>
      </c>
      <c r="Z105" s="88">
        <f t="shared" si="22"/>
        <v>0</v>
      </c>
      <c r="AA105" s="77">
        <f t="shared" si="23"/>
        <v>0</v>
      </c>
      <c r="AB105" s="116">
        <f t="shared" si="26"/>
        <v>0</v>
      </c>
      <c r="AC105" s="97">
        <f t="shared" si="27"/>
        <v>0</v>
      </c>
      <c r="AD105" s="100">
        <f t="shared" si="24"/>
        <v>0</v>
      </c>
      <c r="AE105" s="116">
        <f t="shared" si="28"/>
        <v>0</v>
      </c>
      <c r="AF105" s="371" t="str">
        <f>IFERROR(IF(AE105=0,"NA",
IF(G105="N",IF(OR(J105="PBV",J105="HCV",(AC105-Y105)&lt;=(INDEX(Data!$C$29:$J$46,MATCH('Rent Roll'!$K105,Data!$B$29:$B$46,0),MATCH($M105,Data!$C$28:$J$28,0))/12*0.3)),"Y","N"),
IF(OR(J105="PBV",J105="HCV",AND((AC105/R105-1)&lt;=0.05,(AC105-Y105)&lt;=(N105/12*0.3))),"Y","N"))),"NA")</f>
        <v>NA</v>
      </c>
    </row>
    <row r="106" spans="2:32" x14ac:dyDescent="0.3">
      <c r="B106" s="271">
        <v>83</v>
      </c>
      <c r="C106" s="268" t="s">
        <v>130</v>
      </c>
      <c r="D106" s="212"/>
      <c r="E106" s="213" t="s">
        <v>131</v>
      </c>
      <c r="F106" s="214">
        <v>0</v>
      </c>
      <c r="G106" s="280" t="s">
        <v>132</v>
      </c>
      <c r="H106" s="287">
        <v>0</v>
      </c>
      <c r="I106" s="292">
        <f t="shared" si="18"/>
        <v>0</v>
      </c>
      <c r="J106" s="297" t="s">
        <v>131</v>
      </c>
      <c r="K106" s="282" t="s">
        <v>131</v>
      </c>
      <c r="L106" s="219" t="s">
        <v>131</v>
      </c>
      <c r="M106" s="337" t="s">
        <v>131</v>
      </c>
      <c r="N106" s="332">
        <v>0</v>
      </c>
      <c r="O106" s="337" t="s">
        <v>131</v>
      </c>
      <c r="P106" s="363" t="str">
        <f>IFERROR(INDEX(Data!$B$28:$B$46,MATCH('Rent Roll'!$N106,INDEX(Data!$B$28:$J$46,,MATCH('Rent Roll'!$O106,Data!$B$28:$J$28,0)),-1),1),"NA")</f>
        <v>NA</v>
      </c>
      <c r="Q106" s="280" t="s">
        <v>132</v>
      </c>
      <c r="R106" s="217">
        <v>0</v>
      </c>
      <c r="S106" s="77">
        <f t="shared" si="19"/>
        <v>0</v>
      </c>
      <c r="T106" s="116">
        <f t="shared" si="20"/>
        <v>0</v>
      </c>
      <c r="U106" s="217">
        <v>0</v>
      </c>
      <c r="V106" s="77">
        <f t="shared" si="21"/>
        <v>0</v>
      </c>
      <c r="W106" s="116">
        <f t="shared" si="25"/>
        <v>0</v>
      </c>
      <c r="X106" s="84">
        <f>IFERROR(IF(INDEX(AC$13:AC$17,MATCH($E106,$AB$13:$AB$17,0))&lt;&gt;0,INDEX(AC$13:AC$17,MATCH($E106,$AB$13:$AB$17,0)),
IF($N106="MKT",0,IF($L106="HUD FMR",INDEX(Data!$B$21:$G$21,MATCH($E106,Data!$B$9:$G$9,0))*$N106,INDEX(Data!$B$9:$G$22,MATCH($K106,Data!$B$9:$B$22,0),MATCH($E106,Data!$B$9:$G$9,0))))),0)</f>
        <v>0</v>
      </c>
      <c r="Y106" s="84">
        <f>IFERROR(IF(INDEX(AD$13:AD$17,MATCH($E106,$AB$13:$AB$17,0))&lt;&gt;0,INDEX(AD$13:AD$17,MATCH($E106,$AB$13:$AB$17,0)),
IF($K106="MKT",0,-INDEX(Data!$B$22:$G$22,MATCH($E106,Data!$B$9:$G$9,0)))),0)</f>
        <v>0</v>
      </c>
      <c r="Z106" s="88">
        <f t="shared" si="22"/>
        <v>0</v>
      </c>
      <c r="AA106" s="77">
        <f t="shared" si="23"/>
        <v>0</v>
      </c>
      <c r="AB106" s="116">
        <f t="shared" si="26"/>
        <v>0</v>
      </c>
      <c r="AC106" s="97">
        <f t="shared" si="27"/>
        <v>0</v>
      </c>
      <c r="AD106" s="100">
        <f t="shared" si="24"/>
        <v>0</v>
      </c>
      <c r="AE106" s="116">
        <f t="shared" si="28"/>
        <v>0</v>
      </c>
      <c r="AF106" s="371" t="str">
        <f>IFERROR(IF(AE106=0,"NA",
IF(G106="N",IF(OR(J106="PBV",J106="HCV",(AC106-Y106)&lt;=(INDEX(Data!$C$29:$J$46,MATCH('Rent Roll'!$K106,Data!$B$29:$B$46,0),MATCH($M106,Data!$C$28:$J$28,0))/12*0.3)),"Y","N"),
IF(OR(J106="PBV",J106="HCV",AND((AC106/R106-1)&lt;=0.05,(AC106-Y106)&lt;=(N106/12*0.3))),"Y","N"))),"NA")</f>
        <v>NA</v>
      </c>
    </row>
    <row r="107" spans="2:32" x14ac:dyDescent="0.3">
      <c r="B107" s="271">
        <v>84</v>
      </c>
      <c r="C107" s="268" t="s">
        <v>130</v>
      </c>
      <c r="D107" s="212"/>
      <c r="E107" s="213" t="s">
        <v>131</v>
      </c>
      <c r="F107" s="214">
        <v>0</v>
      </c>
      <c r="G107" s="280" t="s">
        <v>132</v>
      </c>
      <c r="H107" s="287">
        <v>0</v>
      </c>
      <c r="I107" s="292">
        <f t="shared" si="18"/>
        <v>0</v>
      </c>
      <c r="J107" s="297" t="s">
        <v>131</v>
      </c>
      <c r="K107" s="282" t="s">
        <v>131</v>
      </c>
      <c r="L107" s="219" t="s">
        <v>131</v>
      </c>
      <c r="M107" s="337" t="s">
        <v>131</v>
      </c>
      <c r="N107" s="332">
        <v>0</v>
      </c>
      <c r="O107" s="337" t="s">
        <v>131</v>
      </c>
      <c r="P107" s="363" t="str">
        <f>IFERROR(INDEX(Data!$B$28:$B$46,MATCH('Rent Roll'!$N107,INDEX(Data!$B$28:$J$46,,MATCH('Rent Roll'!$O107,Data!$B$28:$J$28,0)),-1),1),"NA")</f>
        <v>NA</v>
      </c>
      <c r="Q107" s="280" t="s">
        <v>132</v>
      </c>
      <c r="R107" s="217">
        <v>0</v>
      </c>
      <c r="S107" s="77">
        <f t="shared" si="19"/>
        <v>0</v>
      </c>
      <c r="T107" s="116">
        <f t="shared" si="20"/>
        <v>0</v>
      </c>
      <c r="U107" s="217">
        <v>0</v>
      </c>
      <c r="V107" s="77">
        <f t="shared" si="21"/>
        <v>0</v>
      </c>
      <c r="W107" s="116">
        <f t="shared" si="25"/>
        <v>0</v>
      </c>
      <c r="X107" s="84">
        <f>IFERROR(IF(INDEX(AC$13:AC$17,MATCH($E107,$AB$13:$AB$17,0))&lt;&gt;0,INDEX(AC$13:AC$17,MATCH($E107,$AB$13:$AB$17,0)),
IF($N107="MKT",0,IF($L107="HUD FMR",INDEX(Data!$B$21:$G$21,MATCH($E107,Data!$B$9:$G$9,0))*$N107,INDEX(Data!$B$9:$G$22,MATCH($K107,Data!$B$9:$B$22,0),MATCH($E107,Data!$B$9:$G$9,0))))),0)</f>
        <v>0</v>
      </c>
      <c r="Y107" s="84">
        <f>IFERROR(IF(INDEX(AD$13:AD$17,MATCH($E107,$AB$13:$AB$17,0))&lt;&gt;0,INDEX(AD$13:AD$17,MATCH($E107,$AB$13:$AB$17,0)),
IF($K107="MKT",0,-INDEX(Data!$B$22:$G$22,MATCH($E107,Data!$B$9:$G$9,0)))),0)</f>
        <v>0</v>
      </c>
      <c r="Z107" s="88">
        <f t="shared" si="22"/>
        <v>0</v>
      </c>
      <c r="AA107" s="77">
        <f t="shared" si="23"/>
        <v>0</v>
      </c>
      <c r="AB107" s="116">
        <f t="shared" si="26"/>
        <v>0</v>
      </c>
      <c r="AC107" s="97">
        <f t="shared" si="27"/>
        <v>0</v>
      </c>
      <c r="AD107" s="100">
        <f t="shared" si="24"/>
        <v>0</v>
      </c>
      <c r="AE107" s="116">
        <f t="shared" si="28"/>
        <v>0</v>
      </c>
      <c r="AF107" s="371" t="str">
        <f>IFERROR(IF(AE107=0,"NA",
IF(G107="N",IF(OR(J107="PBV",J107="HCV",(AC107-Y107)&lt;=(INDEX(Data!$C$29:$J$46,MATCH('Rent Roll'!$K107,Data!$B$29:$B$46,0),MATCH($M107,Data!$C$28:$J$28,0))/12*0.3)),"Y","N"),
IF(OR(J107="PBV",J107="HCV",AND((AC107/R107-1)&lt;=0.05,(AC107-Y107)&lt;=(N107/12*0.3))),"Y","N"))),"NA")</f>
        <v>NA</v>
      </c>
    </row>
    <row r="108" spans="2:32" x14ac:dyDescent="0.3">
      <c r="B108" s="271">
        <v>85</v>
      </c>
      <c r="C108" s="268" t="s">
        <v>130</v>
      </c>
      <c r="D108" s="212"/>
      <c r="E108" s="213" t="s">
        <v>131</v>
      </c>
      <c r="F108" s="214">
        <v>0</v>
      </c>
      <c r="G108" s="280" t="s">
        <v>132</v>
      </c>
      <c r="H108" s="287">
        <v>0</v>
      </c>
      <c r="I108" s="292">
        <f t="shared" si="18"/>
        <v>0</v>
      </c>
      <c r="J108" s="297" t="s">
        <v>131</v>
      </c>
      <c r="K108" s="282" t="s">
        <v>131</v>
      </c>
      <c r="L108" s="219" t="s">
        <v>131</v>
      </c>
      <c r="M108" s="337" t="s">
        <v>131</v>
      </c>
      <c r="N108" s="332">
        <v>0</v>
      </c>
      <c r="O108" s="337" t="s">
        <v>131</v>
      </c>
      <c r="P108" s="363" t="str">
        <f>IFERROR(INDEX(Data!$B$28:$B$46,MATCH('Rent Roll'!$N108,INDEX(Data!$B$28:$J$46,,MATCH('Rent Roll'!$O108,Data!$B$28:$J$28,0)),-1),1),"NA")</f>
        <v>NA</v>
      </c>
      <c r="Q108" s="280" t="s">
        <v>132</v>
      </c>
      <c r="R108" s="217">
        <v>0</v>
      </c>
      <c r="S108" s="77">
        <f t="shared" si="19"/>
        <v>0</v>
      </c>
      <c r="T108" s="116">
        <f t="shared" si="20"/>
        <v>0</v>
      </c>
      <c r="U108" s="217">
        <v>0</v>
      </c>
      <c r="V108" s="77">
        <f t="shared" si="21"/>
        <v>0</v>
      </c>
      <c r="W108" s="116">
        <f t="shared" si="25"/>
        <v>0</v>
      </c>
      <c r="X108" s="84">
        <f>IFERROR(IF(INDEX(AC$13:AC$17,MATCH($E108,$AB$13:$AB$17,0))&lt;&gt;0,INDEX(AC$13:AC$17,MATCH($E108,$AB$13:$AB$17,0)),
IF($N108="MKT",0,IF($L108="HUD FMR",INDEX(Data!$B$21:$G$21,MATCH($E108,Data!$B$9:$G$9,0))*$N108,INDEX(Data!$B$9:$G$22,MATCH($K108,Data!$B$9:$B$22,0),MATCH($E108,Data!$B$9:$G$9,0))))),0)</f>
        <v>0</v>
      </c>
      <c r="Y108" s="84">
        <f>IFERROR(IF(INDEX(AD$13:AD$17,MATCH($E108,$AB$13:$AB$17,0))&lt;&gt;0,INDEX(AD$13:AD$17,MATCH($E108,$AB$13:$AB$17,0)),
IF($K108="MKT",0,-INDEX(Data!$B$22:$G$22,MATCH($E108,Data!$B$9:$G$9,0)))),0)</f>
        <v>0</v>
      </c>
      <c r="Z108" s="88">
        <f t="shared" si="22"/>
        <v>0</v>
      </c>
      <c r="AA108" s="77">
        <f t="shared" si="23"/>
        <v>0</v>
      </c>
      <c r="AB108" s="116">
        <f t="shared" si="26"/>
        <v>0</v>
      </c>
      <c r="AC108" s="97">
        <f t="shared" si="27"/>
        <v>0</v>
      </c>
      <c r="AD108" s="100">
        <f t="shared" si="24"/>
        <v>0</v>
      </c>
      <c r="AE108" s="116">
        <f t="shared" si="28"/>
        <v>0</v>
      </c>
      <c r="AF108" s="371" t="str">
        <f>IFERROR(IF(AE108=0,"NA",
IF(G108="N",IF(OR(J108="PBV",J108="HCV",(AC108-Y108)&lt;=(INDEX(Data!$C$29:$J$46,MATCH('Rent Roll'!$K108,Data!$B$29:$B$46,0),MATCH($M108,Data!$C$28:$J$28,0))/12*0.3)),"Y","N"),
IF(OR(J108="PBV",J108="HCV",AND((AC108/R108-1)&lt;=0.05,(AC108-Y108)&lt;=(N108/12*0.3))),"Y","N"))),"NA")</f>
        <v>NA</v>
      </c>
    </row>
    <row r="109" spans="2:32" x14ac:dyDescent="0.3">
      <c r="B109" s="271">
        <v>86</v>
      </c>
      <c r="C109" s="268" t="s">
        <v>130</v>
      </c>
      <c r="D109" s="212"/>
      <c r="E109" s="213" t="s">
        <v>131</v>
      </c>
      <c r="F109" s="214">
        <v>0</v>
      </c>
      <c r="G109" s="280" t="s">
        <v>132</v>
      </c>
      <c r="H109" s="287">
        <v>0</v>
      </c>
      <c r="I109" s="292">
        <f t="shared" si="18"/>
        <v>0</v>
      </c>
      <c r="J109" s="297" t="s">
        <v>131</v>
      </c>
      <c r="K109" s="282" t="s">
        <v>131</v>
      </c>
      <c r="L109" s="219" t="s">
        <v>131</v>
      </c>
      <c r="M109" s="337" t="s">
        <v>131</v>
      </c>
      <c r="N109" s="332">
        <v>0</v>
      </c>
      <c r="O109" s="337" t="s">
        <v>131</v>
      </c>
      <c r="P109" s="363" t="str">
        <f>IFERROR(INDEX(Data!$B$28:$B$46,MATCH('Rent Roll'!$N109,INDEX(Data!$B$28:$J$46,,MATCH('Rent Roll'!$O109,Data!$B$28:$J$28,0)),-1),1),"NA")</f>
        <v>NA</v>
      </c>
      <c r="Q109" s="280" t="s">
        <v>132</v>
      </c>
      <c r="R109" s="217">
        <v>0</v>
      </c>
      <c r="S109" s="77">
        <f t="shared" si="19"/>
        <v>0</v>
      </c>
      <c r="T109" s="116">
        <f t="shared" si="20"/>
        <v>0</v>
      </c>
      <c r="U109" s="217">
        <v>0</v>
      </c>
      <c r="V109" s="77">
        <f t="shared" si="21"/>
        <v>0</v>
      </c>
      <c r="W109" s="116">
        <f t="shared" si="25"/>
        <v>0</v>
      </c>
      <c r="X109" s="84">
        <f>IFERROR(IF(INDEX(AC$13:AC$17,MATCH($E109,$AB$13:$AB$17,0))&lt;&gt;0,INDEX(AC$13:AC$17,MATCH($E109,$AB$13:$AB$17,0)),
IF($N109="MKT",0,IF($L109="HUD FMR",INDEX(Data!$B$21:$G$21,MATCH($E109,Data!$B$9:$G$9,0))*$N109,INDEX(Data!$B$9:$G$22,MATCH($K109,Data!$B$9:$B$22,0),MATCH($E109,Data!$B$9:$G$9,0))))),0)</f>
        <v>0</v>
      </c>
      <c r="Y109" s="84">
        <f>IFERROR(IF(INDEX(AD$13:AD$17,MATCH($E109,$AB$13:$AB$17,0))&lt;&gt;0,INDEX(AD$13:AD$17,MATCH($E109,$AB$13:$AB$17,0)),
IF($K109="MKT",0,-INDEX(Data!$B$22:$G$22,MATCH($E109,Data!$B$9:$G$9,0)))),0)</f>
        <v>0</v>
      </c>
      <c r="Z109" s="88">
        <f t="shared" si="22"/>
        <v>0</v>
      </c>
      <c r="AA109" s="77">
        <f t="shared" si="23"/>
        <v>0</v>
      </c>
      <c r="AB109" s="116">
        <f t="shared" si="26"/>
        <v>0</v>
      </c>
      <c r="AC109" s="97">
        <f t="shared" si="27"/>
        <v>0</v>
      </c>
      <c r="AD109" s="100">
        <f t="shared" si="24"/>
        <v>0</v>
      </c>
      <c r="AE109" s="116">
        <f t="shared" si="28"/>
        <v>0</v>
      </c>
      <c r="AF109" s="371" t="str">
        <f>IFERROR(IF(AE109=0,"NA",
IF(G109="N",IF(OR(J109="PBV",J109="HCV",(AC109-Y109)&lt;=(INDEX(Data!$C$29:$J$46,MATCH('Rent Roll'!$K109,Data!$B$29:$B$46,0),MATCH($M109,Data!$C$28:$J$28,0))/12*0.3)),"Y","N"),
IF(OR(J109="PBV",J109="HCV",AND((AC109/R109-1)&lt;=0.05,(AC109-Y109)&lt;=(N109/12*0.3))),"Y","N"))),"NA")</f>
        <v>NA</v>
      </c>
    </row>
    <row r="110" spans="2:32" x14ac:dyDescent="0.3">
      <c r="B110" s="271">
        <v>87</v>
      </c>
      <c r="C110" s="268" t="s">
        <v>130</v>
      </c>
      <c r="D110" s="212"/>
      <c r="E110" s="213" t="s">
        <v>131</v>
      </c>
      <c r="F110" s="214">
        <v>0</v>
      </c>
      <c r="G110" s="280" t="s">
        <v>132</v>
      </c>
      <c r="H110" s="287">
        <v>0</v>
      </c>
      <c r="I110" s="292">
        <f t="shared" si="18"/>
        <v>0</v>
      </c>
      <c r="J110" s="297" t="s">
        <v>131</v>
      </c>
      <c r="K110" s="282" t="s">
        <v>131</v>
      </c>
      <c r="L110" s="219" t="s">
        <v>131</v>
      </c>
      <c r="M110" s="337" t="s">
        <v>131</v>
      </c>
      <c r="N110" s="332">
        <v>0</v>
      </c>
      <c r="O110" s="337" t="s">
        <v>131</v>
      </c>
      <c r="P110" s="363" t="str">
        <f>IFERROR(INDEX(Data!$B$28:$B$46,MATCH('Rent Roll'!$N110,INDEX(Data!$B$28:$J$46,,MATCH('Rent Roll'!$O110,Data!$B$28:$J$28,0)),-1),1),"NA")</f>
        <v>NA</v>
      </c>
      <c r="Q110" s="280" t="s">
        <v>132</v>
      </c>
      <c r="R110" s="217">
        <v>0</v>
      </c>
      <c r="S110" s="77">
        <f t="shared" si="19"/>
        <v>0</v>
      </c>
      <c r="T110" s="116">
        <f t="shared" si="20"/>
        <v>0</v>
      </c>
      <c r="U110" s="217">
        <v>0</v>
      </c>
      <c r="V110" s="77">
        <f t="shared" si="21"/>
        <v>0</v>
      </c>
      <c r="W110" s="116">
        <f t="shared" si="25"/>
        <v>0</v>
      </c>
      <c r="X110" s="84">
        <f>IFERROR(IF(INDEX(AC$13:AC$17,MATCH($E110,$AB$13:$AB$17,0))&lt;&gt;0,INDEX(AC$13:AC$17,MATCH($E110,$AB$13:$AB$17,0)),
IF($N110="MKT",0,IF($L110="HUD FMR",INDEX(Data!$B$21:$G$21,MATCH($E110,Data!$B$9:$G$9,0))*$N110,INDEX(Data!$B$9:$G$22,MATCH($K110,Data!$B$9:$B$22,0),MATCH($E110,Data!$B$9:$G$9,0))))),0)</f>
        <v>0</v>
      </c>
      <c r="Y110" s="84">
        <f>IFERROR(IF(INDEX(AD$13:AD$17,MATCH($E110,$AB$13:$AB$17,0))&lt;&gt;0,INDEX(AD$13:AD$17,MATCH($E110,$AB$13:$AB$17,0)),
IF($K110="MKT",0,-INDEX(Data!$B$22:$G$22,MATCH($E110,Data!$B$9:$G$9,0)))),0)</f>
        <v>0</v>
      </c>
      <c r="Z110" s="88">
        <f t="shared" si="22"/>
        <v>0</v>
      </c>
      <c r="AA110" s="77">
        <f t="shared" si="23"/>
        <v>0</v>
      </c>
      <c r="AB110" s="116">
        <f t="shared" si="26"/>
        <v>0</v>
      </c>
      <c r="AC110" s="97">
        <f t="shared" si="27"/>
        <v>0</v>
      </c>
      <c r="AD110" s="100">
        <f t="shared" si="24"/>
        <v>0</v>
      </c>
      <c r="AE110" s="116">
        <f t="shared" si="28"/>
        <v>0</v>
      </c>
      <c r="AF110" s="371" t="str">
        <f>IFERROR(IF(AE110=0,"NA",
IF(G110="N",IF(OR(J110="PBV",J110="HCV",(AC110-Y110)&lt;=(INDEX(Data!$C$29:$J$46,MATCH('Rent Roll'!$K110,Data!$B$29:$B$46,0),MATCH($M110,Data!$C$28:$J$28,0))/12*0.3)),"Y","N"),
IF(OR(J110="PBV",J110="HCV",AND((AC110/R110-1)&lt;=0.05,(AC110-Y110)&lt;=(N110/12*0.3))),"Y","N"))),"NA")</f>
        <v>NA</v>
      </c>
    </row>
    <row r="111" spans="2:32" x14ac:dyDescent="0.3">
      <c r="B111" s="271">
        <v>88</v>
      </c>
      <c r="C111" s="268" t="s">
        <v>130</v>
      </c>
      <c r="D111" s="212"/>
      <c r="E111" s="213" t="s">
        <v>131</v>
      </c>
      <c r="F111" s="214">
        <v>0</v>
      </c>
      <c r="G111" s="280" t="s">
        <v>132</v>
      </c>
      <c r="H111" s="287">
        <v>0</v>
      </c>
      <c r="I111" s="292">
        <f t="shared" si="18"/>
        <v>0</v>
      </c>
      <c r="J111" s="297" t="s">
        <v>131</v>
      </c>
      <c r="K111" s="282" t="s">
        <v>131</v>
      </c>
      <c r="L111" s="219" t="s">
        <v>131</v>
      </c>
      <c r="M111" s="337" t="s">
        <v>131</v>
      </c>
      <c r="N111" s="332">
        <v>0</v>
      </c>
      <c r="O111" s="337" t="s">
        <v>131</v>
      </c>
      <c r="P111" s="363" t="str">
        <f>IFERROR(INDEX(Data!$B$28:$B$46,MATCH('Rent Roll'!$N111,INDEX(Data!$B$28:$J$46,,MATCH('Rent Roll'!$O111,Data!$B$28:$J$28,0)),-1),1),"NA")</f>
        <v>NA</v>
      </c>
      <c r="Q111" s="280" t="s">
        <v>132</v>
      </c>
      <c r="R111" s="217">
        <v>0</v>
      </c>
      <c r="S111" s="77">
        <f t="shared" si="19"/>
        <v>0</v>
      </c>
      <c r="T111" s="116">
        <f t="shared" si="20"/>
        <v>0</v>
      </c>
      <c r="U111" s="217">
        <v>0</v>
      </c>
      <c r="V111" s="77">
        <f t="shared" si="21"/>
        <v>0</v>
      </c>
      <c r="W111" s="116">
        <f t="shared" si="25"/>
        <v>0</v>
      </c>
      <c r="X111" s="84">
        <f>IFERROR(IF(INDEX(AC$13:AC$17,MATCH($E111,$AB$13:$AB$17,0))&lt;&gt;0,INDEX(AC$13:AC$17,MATCH($E111,$AB$13:$AB$17,0)),
IF($N111="MKT",0,IF($L111="HUD FMR",INDEX(Data!$B$21:$G$21,MATCH($E111,Data!$B$9:$G$9,0))*$N111,INDEX(Data!$B$9:$G$22,MATCH($K111,Data!$B$9:$B$22,0),MATCH($E111,Data!$B$9:$G$9,0))))),0)</f>
        <v>0</v>
      </c>
      <c r="Y111" s="84">
        <f>IFERROR(IF(INDEX(AD$13:AD$17,MATCH($E111,$AB$13:$AB$17,0))&lt;&gt;0,INDEX(AD$13:AD$17,MATCH($E111,$AB$13:$AB$17,0)),
IF($K111="MKT",0,-INDEX(Data!$B$22:$G$22,MATCH($E111,Data!$B$9:$G$9,0)))),0)</f>
        <v>0</v>
      </c>
      <c r="Z111" s="88">
        <f t="shared" si="22"/>
        <v>0</v>
      </c>
      <c r="AA111" s="77">
        <f t="shared" si="23"/>
        <v>0</v>
      </c>
      <c r="AB111" s="116">
        <f t="shared" si="26"/>
        <v>0</v>
      </c>
      <c r="AC111" s="97">
        <f t="shared" si="27"/>
        <v>0</v>
      </c>
      <c r="AD111" s="100">
        <f t="shared" si="24"/>
        <v>0</v>
      </c>
      <c r="AE111" s="116">
        <f t="shared" si="28"/>
        <v>0</v>
      </c>
      <c r="AF111" s="371" t="str">
        <f>IFERROR(IF(AE111=0,"NA",
IF(G111="N",IF(OR(J111="PBV",J111="HCV",(AC111-Y111)&lt;=(INDEX(Data!$C$29:$J$46,MATCH('Rent Roll'!$K111,Data!$B$29:$B$46,0),MATCH($M111,Data!$C$28:$J$28,0))/12*0.3)),"Y","N"),
IF(OR(J111="PBV",J111="HCV",AND((AC111/R111-1)&lt;=0.05,(AC111-Y111)&lt;=(N111/12*0.3))),"Y","N"))),"NA")</f>
        <v>NA</v>
      </c>
    </row>
    <row r="112" spans="2:32" x14ac:dyDescent="0.3">
      <c r="B112" s="271">
        <v>89</v>
      </c>
      <c r="C112" s="268" t="s">
        <v>130</v>
      </c>
      <c r="D112" s="212"/>
      <c r="E112" s="213" t="s">
        <v>131</v>
      </c>
      <c r="F112" s="214">
        <v>0</v>
      </c>
      <c r="G112" s="280" t="s">
        <v>132</v>
      </c>
      <c r="H112" s="287">
        <v>0</v>
      </c>
      <c r="I112" s="292">
        <f t="shared" si="18"/>
        <v>0</v>
      </c>
      <c r="J112" s="297" t="s">
        <v>131</v>
      </c>
      <c r="K112" s="282" t="s">
        <v>131</v>
      </c>
      <c r="L112" s="219" t="s">
        <v>131</v>
      </c>
      <c r="M112" s="337" t="s">
        <v>131</v>
      </c>
      <c r="N112" s="332">
        <v>0</v>
      </c>
      <c r="O112" s="337" t="s">
        <v>131</v>
      </c>
      <c r="P112" s="363" t="str">
        <f>IFERROR(INDEX(Data!$B$28:$B$46,MATCH('Rent Roll'!$N112,INDEX(Data!$B$28:$J$46,,MATCH('Rent Roll'!$O112,Data!$B$28:$J$28,0)),-1),1),"NA")</f>
        <v>NA</v>
      </c>
      <c r="Q112" s="280" t="s">
        <v>132</v>
      </c>
      <c r="R112" s="217">
        <v>0</v>
      </c>
      <c r="S112" s="77">
        <f t="shared" si="19"/>
        <v>0</v>
      </c>
      <c r="T112" s="116">
        <f t="shared" si="20"/>
        <v>0</v>
      </c>
      <c r="U112" s="217">
        <v>0</v>
      </c>
      <c r="V112" s="77">
        <f t="shared" si="21"/>
        <v>0</v>
      </c>
      <c r="W112" s="116">
        <f t="shared" si="25"/>
        <v>0</v>
      </c>
      <c r="X112" s="84">
        <f>IFERROR(IF(INDEX(AC$13:AC$17,MATCH($E112,$AB$13:$AB$17,0))&lt;&gt;0,INDEX(AC$13:AC$17,MATCH($E112,$AB$13:$AB$17,0)),
IF($N112="MKT",0,IF($L112="HUD FMR",INDEX(Data!$B$21:$G$21,MATCH($E112,Data!$B$9:$G$9,0))*$N112,INDEX(Data!$B$9:$G$22,MATCH($K112,Data!$B$9:$B$22,0),MATCH($E112,Data!$B$9:$G$9,0))))),0)</f>
        <v>0</v>
      </c>
      <c r="Y112" s="84">
        <f>IFERROR(IF(INDEX(AD$13:AD$17,MATCH($E112,$AB$13:$AB$17,0))&lt;&gt;0,INDEX(AD$13:AD$17,MATCH($E112,$AB$13:$AB$17,0)),
IF($K112="MKT",0,-INDEX(Data!$B$22:$G$22,MATCH($E112,Data!$B$9:$G$9,0)))),0)</f>
        <v>0</v>
      </c>
      <c r="Z112" s="88">
        <f t="shared" si="22"/>
        <v>0</v>
      </c>
      <c r="AA112" s="77">
        <f t="shared" si="23"/>
        <v>0</v>
      </c>
      <c r="AB112" s="116">
        <f t="shared" si="26"/>
        <v>0</v>
      </c>
      <c r="AC112" s="97">
        <f t="shared" si="27"/>
        <v>0</v>
      </c>
      <c r="AD112" s="100">
        <f t="shared" si="24"/>
        <v>0</v>
      </c>
      <c r="AE112" s="116">
        <f t="shared" si="28"/>
        <v>0</v>
      </c>
      <c r="AF112" s="371" t="str">
        <f>IFERROR(IF(AE112=0,"NA",
IF(G112="N",IF(OR(J112="PBV",J112="HCV",(AC112-Y112)&lt;=(INDEX(Data!$C$29:$J$46,MATCH('Rent Roll'!$K112,Data!$B$29:$B$46,0),MATCH($M112,Data!$C$28:$J$28,0))/12*0.3)),"Y","N"),
IF(OR(J112="PBV",J112="HCV",AND((AC112/R112-1)&lt;=0.05,(AC112-Y112)&lt;=(N112/12*0.3))),"Y","N"))),"NA")</f>
        <v>NA</v>
      </c>
    </row>
    <row r="113" spans="2:32" x14ac:dyDescent="0.3">
      <c r="B113" s="271">
        <v>90</v>
      </c>
      <c r="C113" s="268" t="s">
        <v>130</v>
      </c>
      <c r="D113" s="212"/>
      <c r="E113" s="213" t="s">
        <v>131</v>
      </c>
      <c r="F113" s="214">
        <v>0</v>
      </c>
      <c r="G113" s="280" t="s">
        <v>132</v>
      </c>
      <c r="H113" s="287">
        <v>0</v>
      </c>
      <c r="I113" s="292">
        <f t="shared" si="18"/>
        <v>0</v>
      </c>
      <c r="J113" s="297" t="s">
        <v>131</v>
      </c>
      <c r="K113" s="282" t="s">
        <v>131</v>
      </c>
      <c r="L113" s="219" t="s">
        <v>131</v>
      </c>
      <c r="M113" s="337" t="s">
        <v>131</v>
      </c>
      <c r="N113" s="332">
        <v>0</v>
      </c>
      <c r="O113" s="337" t="s">
        <v>131</v>
      </c>
      <c r="P113" s="363" t="str">
        <f>IFERROR(INDEX(Data!$B$28:$B$46,MATCH('Rent Roll'!$N113,INDEX(Data!$B$28:$J$46,,MATCH('Rent Roll'!$O113,Data!$B$28:$J$28,0)),-1),1),"NA")</f>
        <v>NA</v>
      </c>
      <c r="Q113" s="280" t="s">
        <v>132</v>
      </c>
      <c r="R113" s="217">
        <v>0</v>
      </c>
      <c r="S113" s="77">
        <f t="shared" si="19"/>
        <v>0</v>
      </c>
      <c r="T113" s="116">
        <f t="shared" si="20"/>
        <v>0</v>
      </c>
      <c r="U113" s="217">
        <v>0</v>
      </c>
      <c r="V113" s="77">
        <f t="shared" si="21"/>
        <v>0</v>
      </c>
      <c r="W113" s="116">
        <f t="shared" si="25"/>
        <v>0</v>
      </c>
      <c r="X113" s="84">
        <f>IFERROR(IF(INDEX(AC$13:AC$17,MATCH($E113,$AB$13:$AB$17,0))&lt;&gt;0,INDEX(AC$13:AC$17,MATCH($E113,$AB$13:$AB$17,0)),
IF($N113="MKT",0,IF($L113="HUD FMR",INDEX(Data!$B$21:$G$21,MATCH($E113,Data!$B$9:$G$9,0))*$N113,INDEX(Data!$B$9:$G$22,MATCH($K113,Data!$B$9:$B$22,0),MATCH($E113,Data!$B$9:$G$9,0))))),0)</f>
        <v>0</v>
      </c>
      <c r="Y113" s="84">
        <f>IFERROR(IF(INDEX(AD$13:AD$17,MATCH($E113,$AB$13:$AB$17,0))&lt;&gt;0,INDEX(AD$13:AD$17,MATCH($E113,$AB$13:$AB$17,0)),
IF($K113="MKT",0,-INDEX(Data!$B$22:$G$22,MATCH($E113,Data!$B$9:$G$9,0)))),0)</f>
        <v>0</v>
      </c>
      <c r="Z113" s="88">
        <f t="shared" si="22"/>
        <v>0</v>
      </c>
      <c r="AA113" s="77">
        <f t="shared" si="23"/>
        <v>0</v>
      </c>
      <c r="AB113" s="116">
        <f t="shared" si="26"/>
        <v>0</v>
      </c>
      <c r="AC113" s="97">
        <f t="shared" si="27"/>
        <v>0</v>
      </c>
      <c r="AD113" s="100">
        <f t="shared" si="24"/>
        <v>0</v>
      </c>
      <c r="AE113" s="116">
        <f t="shared" si="28"/>
        <v>0</v>
      </c>
      <c r="AF113" s="371" t="str">
        <f>IFERROR(IF(AE113=0,"NA",
IF(G113="N",IF(OR(J113="PBV",J113="HCV",(AC113-Y113)&lt;=(INDEX(Data!$C$29:$J$46,MATCH('Rent Roll'!$K113,Data!$B$29:$B$46,0),MATCH($M113,Data!$C$28:$J$28,0))/12*0.3)),"Y","N"),
IF(OR(J113="PBV",J113="HCV",AND((AC113/R113-1)&lt;=0.05,(AC113-Y113)&lt;=(N113/12*0.3))),"Y","N"))),"NA")</f>
        <v>NA</v>
      </c>
    </row>
    <row r="114" spans="2:32" x14ac:dyDescent="0.3">
      <c r="B114" s="271">
        <v>91</v>
      </c>
      <c r="C114" s="268" t="s">
        <v>130</v>
      </c>
      <c r="D114" s="212"/>
      <c r="E114" s="213" t="s">
        <v>131</v>
      </c>
      <c r="F114" s="214">
        <v>0</v>
      </c>
      <c r="G114" s="280" t="s">
        <v>132</v>
      </c>
      <c r="H114" s="287">
        <v>0</v>
      </c>
      <c r="I114" s="292">
        <f t="shared" si="18"/>
        <v>0</v>
      </c>
      <c r="J114" s="297" t="s">
        <v>131</v>
      </c>
      <c r="K114" s="282" t="s">
        <v>131</v>
      </c>
      <c r="L114" s="219" t="s">
        <v>131</v>
      </c>
      <c r="M114" s="337" t="s">
        <v>131</v>
      </c>
      <c r="N114" s="332">
        <v>0</v>
      </c>
      <c r="O114" s="337" t="s">
        <v>131</v>
      </c>
      <c r="P114" s="363" t="str">
        <f>IFERROR(INDEX(Data!$B$28:$B$46,MATCH('Rent Roll'!$N114,INDEX(Data!$B$28:$J$46,,MATCH('Rent Roll'!$O114,Data!$B$28:$J$28,0)),-1),1),"NA")</f>
        <v>NA</v>
      </c>
      <c r="Q114" s="280" t="s">
        <v>132</v>
      </c>
      <c r="R114" s="217">
        <v>0</v>
      </c>
      <c r="S114" s="77">
        <f t="shared" si="19"/>
        <v>0</v>
      </c>
      <c r="T114" s="116">
        <f t="shared" si="20"/>
        <v>0</v>
      </c>
      <c r="U114" s="217">
        <v>0</v>
      </c>
      <c r="V114" s="77">
        <f t="shared" si="21"/>
        <v>0</v>
      </c>
      <c r="W114" s="116">
        <f t="shared" si="25"/>
        <v>0</v>
      </c>
      <c r="X114" s="84">
        <f>IFERROR(IF(INDEX(AC$13:AC$17,MATCH($E114,$AB$13:$AB$17,0))&lt;&gt;0,INDEX(AC$13:AC$17,MATCH($E114,$AB$13:$AB$17,0)),
IF($N114="MKT",0,IF($L114="HUD FMR",INDEX(Data!$B$21:$G$21,MATCH($E114,Data!$B$9:$G$9,0))*$N114,INDEX(Data!$B$9:$G$22,MATCH($K114,Data!$B$9:$B$22,0),MATCH($E114,Data!$B$9:$G$9,0))))),0)</f>
        <v>0</v>
      </c>
      <c r="Y114" s="84">
        <f>IFERROR(IF(INDEX(AD$13:AD$17,MATCH($E114,$AB$13:$AB$17,0))&lt;&gt;0,INDEX(AD$13:AD$17,MATCH($E114,$AB$13:$AB$17,0)),
IF($K114="MKT",0,-INDEX(Data!$B$22:$G$22,MATCH($E114,Data!$B$9:$G$9,0)))),0)</f>
        <v>0</v>
      </c>
      <c r="Z114" s="88">
        <f t="shared" si="22"/>
        <v>0</v>
      </c>
      <c r="AA114" s="77">
        <f t="shared" si="23"/>
        <v>0</v>
      </c>
      <c r="AB114" s="116">
        <f t="shared" si="26"/>
        <v>0</v>
      </c>
      <c r="AC114" s="97">
        <f t="shared" si="27"/>
        <v>0</v>
      </c>
      <c r="AD114" s="100">
        <f t="shared" si="24"/>
        <v>0</v>
      </c>
      <c r="AE114" s="116">
        <f t="shared" si="28"/>
        <v>0</v>
      </c>
      <c r="AF114" s="371" t="str">
        <f>IFERROR(IF(AE114=0,"NA",
IF(G114="N",IF(OR(J114="PBV",J114="HCV",(AC114-Y114)&lt;=(INDEX(Data!$C$29:$J$46,MATCH('Rent Roll'!$K114,Data!$B$29:$B$46,0),MATCH($M114,Data!$C$28:$J$28,0))/12*0.3)),"Y","N"),
IF(OR(J114="PBV",J114="HCV",AND((AC114/R114-1)&lt;=0.05,(AC114-Y114)&lt;=(N114/12*0.3))),"Y","N"))),"NA")</f>
        <v>NA</v>
      </c>
    </row>
    <row r="115" spans="2:32" x14ac:dyDescent="0.3">
      <c r="B115" s="271">
        <v>92</v>
      </c>
      <c r="C115" s="268" t="s">
        <v>130</v>
      </c>
      <c r="D115" s="212"/>
      <c r="E115" s="213" t="s">
        <v>131</v>
      </c>
      <c r="F115" s="214">
        <v>0</v>
      </c>
      <c r="G115" s="280" t="s">
        <v>132</v>
      </c>
      <c r="H115" s="287">
        <v>0</v>
      </c>
      <c r="I115" s="292">
        <f t="shared" si="18"/>
        <v>0</v>
      </c>
      <c r="J115" s="297" t="s">
        <v>131</v>
      </c>
      <c r="K115" s="282" t="s">
        <v>131</v>
      </c>
      <c r="L115" s="219" t="s">
        <v>131</v>
      </c>
      <c r="M115" s="337" t="s">
        <v>131</v>
      </c>
      <c r="N115" s="332">
        <v>0</v>
      </c>
      <c r="O115" s="337" t="s">
        <v>131</v>
      </c>
      <c r="P115" s="363" t="str">
        <f>IFERROR(INDEX(Data!$B$28:$B$46,MATCH('Rent Roll'!$N115,INDEX(Data!$B$28:$J$46,,MATCH('Rent Roll'!$O115,Data!$B$28:$J$28,0)),-1),1),"NA")</f>
        <v>NA</v>
      </c>
      <c r="Q115" s="280" t="s">
        <v>132</v>
      </c>
      <c r="R115" s="217">
        <v>0</v>
      </c>
      <c r="S115" s="77">
        <f t="shared" si="19"/>
        <v>0</v>
      </c>
      <c r="T115" s="116">
        <f t="shared" si="20"/>
        <v>0</v>
      </c>
      <c r="U115" s="217">
        <v>0</v>
      </c>
      <c r="V115" s="77">
        <f t="shared" si="21"/>
        <v>0</v>
      </c>
      <c r="W115" s="116">
        <f t="shared" si="25"/>
        <v>0</v>
      </c>
      <c r="X115" s="84">
        <f>IFERROR(IF(INDEX(AC$13:AC$17,MATCH($E115,$AB$13:$AB$17,0))&lt;&gt;0,INDEX(AC$13:AC$17,MATCH($E115,$AB$13:$AB$17,0)),
IF($N115="MKT",0,IF($L115="HUD FMR",INDEX(Data!$B$21:$G$21,MATCH($E115,Data!$B$9:$G$9,0))*$N115,INDEX(Data!$B$9:$G$22,MATCH($K115,Data!$B$9:$B$22,0),MATCH($E115,Data!$B$9:$G$9,0))))),0)</f>
        <v>0</v>
      </c>
      <c r="Y115" s="84">
        <f>IFERROR(IF(INDEX(AD$13:AD$17,MATCH($E115,$AB$13:$AB$17,0))&lt;&gt;0,INDEX(AD$13:AD$17,MATCH($E115,$AB$13:$AB$17,0)),
IF($K115="MKT",0,-INDEX(Data!$B$22:$G$22,MATCH($E115,Data!$B$9:$G$9,0)))),0)</f>
        <v>0</v>
      </c>
      <c r="Z115" s="88">
        <f t="shared" si="22"/>
        <v>0</v>
      </c>
      <c r="AA115" s="77">
        <f t="shared" si="23"/>
        <v>0</v>
      </c>
      <c r="AB115" s="116">
        <f t="shared" si="26"/>
        <v>0</v>
      </c>
      <c r="AC115" s="97">
        <f t="shared" si="27"/>
        <v>0</v>
      </c>
      <c r="AD115" s="100">
        <f t="shared" si="24"/>
        <v>0</v>
      </c>
      <c r="AE115" s="116">
        <f t="shared" si="28"/>
        <v>0</v>
      </c>
      <c r="AF115" s="371" t="str">
        <f>IFERROR(IF(AE115=0,"NA",
IF(G115="N",IF(OR(J115="PBV",J115="HCV",(AC115-Y115)&lt;=(INDEX(Data!$C$29:$J$46,MATCH('Rent Roll'!$K115,Data!$B$29:$B$46,0),MATCH($M115,Data!$C$28:$J$28,0))/12*0.3)),"Y","N"),
IF(OR(J115="PBV",J115="HCV",AND((AC115/R115-1)&lt;=0.05,(AC115-Y115)&lt;=(N115/12*0.3))),"Y","N"))),"NA")</f>
        <v>NA</v>
      </c>
    </row>
    <row r="116" spans="2:32" x14ac:dyDescent="0.3">
      <c r="B116" s="271">
        <v>93</v>
      </c>
      <c r="C116" s="268" t="s">
        <v>130</v>
      </c>
      <c r="D116" s="212"/>
      <c r="E116" s="213" t="s">
        <v>131</v>
      </c>
      <c r="F116" s="214">
        <v>0</v>
      </c>
      <c r="G116" s="280" t="s">
        <v>132</v>
      </c>
      <c r="H116" s="287">
        <v>0</v>
      </c>
      <c r="I116" s="292">
        <f t="shared" si="18"/>
        <v>0</v>
      </c>
      <c r="J116" s="297" t="s">
        <v>131</v>
      </c>
      <c r="K116" s="282" t="s">
        <v>131</v>
      </c>
      <c r="L116" s="219" t="s">
        <v>131</v>
      </c>
      <c r="M116" s="337" t="s">
        <v>131</v>
      </c>
      <c r="N116" s="332">
        <v>0</v>
      </c>
      <c r="O116" s="337" t="s">
        <v>131</v>
      </c>
      <c r="P116" s="363" t="str">
        <f>IFERROR(INDEX(Data!$B$28:$B$46,MATCH('Rent Roll'!$N116,INDEX(Data!$B$28:$J$46,,MATCH('Rent Roll'!$O116,Data!$B$28:$J$28,0)),-1),1),"NA")</f>
        <v>NA</v>
      </c>
      <c r="Q116" s="280" t="s">
        <v>132</v>
      </c>
      <c r="R116" s="217">
        <v>0</v>
      </c>
      <c r="S116" s="77">
        <f t="shared" si="19"/>
        <v>0</v>
      </c>
      <c r="T116" s="116">
        <f t="shared" si="20"/>
        <v>0</v>
      </c>
      <c r="U116" s="217">
        <v>0</v>
      </c>
      <c r="V116" s="77">
        <f t="shared" si="21"/>
        <v>0</v>
      </c>
      <c r="W116" s="116">
        <f t="shared" si="25"/>
        <v>0</v>
      </c>
      <c r="X116" s="84">
        <f>IFERROR(IF(INDEX(AC$13:AC$17,MATCH($E116,$AB$13:$AB$17,0))&lt;&gt;0,INDEX(AC$13:AC$17,MATCH($E116,$AB$13:$AB$17,0)),
IF($N116="MKT",0,IF($L116="HUD FMR",INDEX(Data!$B$21:$G$21,MATCH($E116,Data!$B$9:$G$9,0))*$N116,INDEX(Data!$B$9:$G$22,MATCH($K116,Data!$B$9:$B$22,0),MATCH($E116,Data!$B$9:$G$9,0))))),0)</f>
        <v>0</v>
      </c>
      <c r="Y116" s="84">
        <f>IFERROR(IF(INDEX(AD$13:AD$17,MATCH($E116,$AB$13:$AB$17,0))&lt;&gt;0,INDEX(AD$13:AD$17,MATCH($E116,$AB$13:$AB$17,0)),
IF($K116="MKT",0,-INDEX(Data!$B$22:$G$22,MATCH($E116,Data!$B$9:$G$9,0)))),0)</f>
        <v>0</v>
      </c>
      <c r="Z116" s="88">
        <f t="shared" si="22"/>
        <v>0</v>
      </c>
      <c r="AA116" s="77">
        <f t="shared" si="23"/>
        <v>0</v>
      </c>
      <c r="AB116" s="116">
        <f t="shared" si="26"/>
        <v>0</v>
      </c>
      <c r="AC116" s="97">
        <f t="shared" si="27"/>
        <v>0</v>
      </c>
      <c r="AD116" s="100">
        <f t="shared" si="24"/>
        <v>0</v>
      </c>
      <c r="AE116" s="116">
        <f t="shared" si="28"/>
        <v>0</v>
      </c>
      <c r="AF116" s="371" t="str">
        <f>IFERROR(IF(AE116=0,"NA",
IF(G116="N",IF(OR(J116="PBV",J116="HCV",(AC116-Y116)&lt;=(INDEX(Data!$C$29:$J$46,MATCH('Rent Roll'!$K116,Data!$B$29:$B$46,0),MATCH($M116,Data!$C$28:$J$28,0))/12*0.3)),"Y","N"),
IF(OR(J116="PBV",J116="HCV",AND((AC116/R116-1)&lt;=0.05,(AC116-Y116)&lt;=(N116/12*0.3))),"Y","N"))),"NA")</f>
        <v>NA</v>
      </c>
    </row>
    <row r="117" spans="2:32" x14ac:dyDescent="0.3">
      <c r="B117" s="271">
        <v>94</v>
      </c>
      <c r="C117" s="268" t="s">
        <v>130</v>
      </c>
      <c r="D117" s="212"/>
      <c r="E117" s="213" t="s">
        <v>131</v>
      </c>
      <c r="F117" s="214">
        <v>0</v>
      </c>
      <c r="G117" s="280" t="s">
        <v>132</v>
      </c>
      <c r="H117" s="287">
        <v>0</v>
      </c>
      <c r="I117" s="292">
        <f t="shared" si="18"/>
        <v>0</v>
      </c>
      <c r="J117" s="297" t="s">
        <v>131</v>
      </c>
      <c r="K117" s="282" t="s">
        <v>131</v>
      </c>
      <c r="L117" s="219" t="s">
        <v>131</v>
      </c>
      <c r="M117" s="337" t="s">
        <v>131</v>
      </c>
      <c r="N117" s="332">
        <v>0</v>
      </c>
      <c r="O117" s="337" t="s">
        <v>131</v>
      </c>
      <c r="P117" s="363" t="str">
        <f>IFERROR(INDEX(Data!$B$28:$B$46,MATCH('Rent Roll'!$N117,INDEX(Data!$B$28:$J$46,,MATCH('Rent Roll'!$O117,Data!$B$28:$J$28,0)),-1),1),"NA")</f>
        <v>NA</v>
      </c>
      <c r="Q117" s="280" t="s">
        <v>132</v>
      </c>
      <c r="R117" s="217">
        <v>0</v>
      </c>
      <c r="S117" s="77">
        <f t="shared" si="19"/>
        <v>0</v>
      </c>
      <c r="T117" s="116">
        <f t="shared" si="20"/>
        <v>0</v>
      </c>
      <c r="U117" s="217">
        <v>0</v>
      </c>
      <c r="V117" s="77">
        <f t="shared" si="21"/>
        <v>0</v>
      </c>
      <c r="W117" s="116">
        <f t="shared" si="25"/>
        <v>0</v>
      </c>
      <c r="X117" s="84">
        <f>IFERROR(IF(INDEX(AC$13:AC$17,MATCH($E117,$AB$13:$AB$17,0))&lt;&gt;0,INDEX(AC$13:AC$17,MATCH($E117,$AB$13:$AB$17,0)),
IF($N117="MKT",0,IF($L117="HUD FMR",INDEX(Data!$B$21:$G$21,MATCH($E117,Data!$B$9:$G$9,0))*$N117,INDEX(Data!$B$9:$G$22,MATCH($K117,Data!$B$9:$B$22,0),MATCH($E117,Data!$B$9:$G$9,0))))),0)</f>
        <v>0</v>
      </c>
      <c r="Y117" s="84">
        <f>IFERROR(IF(INDEX(AD$13:AD$17,MATCH($E117,$AB$13:$AB$17,0))&lt;&gt;0,INDEX(AD$13:AD$17,MATCH($E117,$AB$13:$AB$17,0)),
IF($K117="MKT",0,-INDEX(Data!$B$22:$G$22,MATCH($E117,Data!$B$9:$G$9,0)))),0)</f>
        <v>0</v>
      </c>
      <c r="Z117" s="88">
        <f t="shared" si="22"/>
        <v>0</v>
      </c>
      <c r="AA117" s="77">
        <f t="shared" si="23"/>
        <v>0</v>
      </c>
      <c r="AB117" s="116">
        <f t="shared" si="26"/>
        <v>0</v>
      </c>
      <c r="AC117" s="97">
        <f t="shared" si="27"/>
        <v>0</v>
      </c>
      <c r="AD117" s="100">
        <f t="shared" si="24"/>
        <v>0</v>
      </c>
      <c r="AE117" s="116">
        <f t="shared" si="28"/>
        <v>0</v>
      </c>
      <c r="AF117" s="371" t="str">
        <f>IFERROR(IF(AE117=0,"NA",
IF(G117="N",IF(OR(J117="PBV",J117="HCV",(AC117-Y117)&lt;=(INDEX(Data!$C$29:$J$46,MATCH('Rent Roll'!$K117,Data!$B$29:$B$46,0),MATCH($M117,Data!$C$28:$J$28,0))/12*0.3)),"Y","N"),
IF(OR(J117="PBV",J117="HCV",AND((AC117/R117-1)&lt;=0.05,(AC117-Y117)&lt;=(N117/12*0.3))),"Y","N"))),"NA")</f>
        <v>NA</v>
      </c>
    </row>
    <row r="118" spans="2:32" x14ac:dyDescent="0.3">
      <c r="B118" s="271">
        <v>95</v>
      </c>
      <c r="C118" s="268" t="s">
        <v>130</v>
      </c>
      <c r="D118" s="212"/>
      <c r="E118" s="213" t="s">
        <v>131</v>
      </c>
      <c r="F118" s="214">
        <v>0</v>
      </c>
      <c r="G118" s="280" t="s">
        <v>132</v>
      </c>
      <c r="H118" s="287">
        <v>0</v>
      </c>
      <c r="I118" s="292">
        <f t="shared" si="18"/>
        <v>0</v>
      </c>
      <c r="J118" s="297" t="s">
        <v>131</v>
      </c>
      <c r="K118" s="282" t="s">
        <v>131</v>
      </c>
      <c r="L118" s="219" t="s">
        <v>131</v>
      </c>
      <c r="M118" s="337" t="s">
        <v>131</v>
      </c>
      <c r="N118" s="332">
        <v>0</v>
      </c>
      <c r="O118" s="337" t="s">
        <v>131</v>
      </c>
      <c r="P118" s="363" t="str">
        <f>IFERROR(INDEX(Data!$B$28:$B$46,MATCH('Rent Roll'!$N118,INDEX(Data!$B$28:$J$46,,MATCH('Rent Roll'!$O118,Data!$B$28:$J$28,0)),-1),1),"NA")</f>
        <v>NA</v>
      </c>
      <c r="Q118" s="280" t="s">
        <v>132</v>
      </c>
      <c r="R118" s="217">
        <v>0</v>
      </c>
      <c r="S118" s="77">
        <f t="shared" si="19"/>
        <v>0</v>
      </c>
      <c r="T118" s="116">
        <f t="shared" si="20"/>
        <v>0</v>
      </c>
      <c r="U118" s="217">
        <v>0</v>
      </c>
      <c r="V118" s="77">
        <f t="shared" si="21"/>
        <v>0</v>
      </c>
      <c r="W118" s="116">
        <f t="shared" si="25"/>
        <v>0</v>
      </c>
      <c r="X118" s="84">
        <f>IFERROR(IF(INDEX(AC$13:AC$17,MATCH($E118,$AB$13:$AB$17,0))&lt;&gt;0,INDEX(AC$13:AC$17,MATCH($E118,$AB$13:$AB$17,0)),
IF($N118="MKT",0,IF($L118="HUD FMR",INDEX(Data!$B$21:$G$21,MATCH($E118,Data!$B$9:$G$9,0))*$N118,INDEX(Data!$B$9:$G$22,MATCH($K118,Data!$B$9:$B$22,0),MATCH($E118,Data!$B$9:$G$9,0))))),0)</f>
        <v>0</v>
      </c>
      <c r="Y118" s="84">
        <f>IFERROR(IF(INDEX(AD$13:AD$17,MATCH($E118,$AB$13:$AB$17,0))&lt;&gt;0,INDEX(AD$13:AD$17,MATCH($E118,$AB$13:$AB$17,0)),
IF($K118="MKT",0,-INDEX(Data!$B$22:$G$22,MATCH($E118,Data!$B$9:$G$9,0)))),0)</f>
        <v>0</v>
      </c>
      <c r="Z118" s="88">
        <f t="shared" si="22"/>
        <v>0</v>
      </c>
      <c r="AA118" s="77">
        <f t="shared" si="23"/>
        <v>0</v>
      </c>
      <c r="AB118" s="116">
        <f t="shared" si="26"/>
        <v>0</v>
      </c>
      <c r="AC118" s="97">
        <f t="shared" si="27"/>
        <v>0</v>
      </c>
      <c r="AD118" s="100">
        <f t="shared" si="24"/>
        <v>0</v>
      </c>
      <c r="AE118" s="116">
        <f t="shared" si="28"/>
        <v>0</v>
      </c>
      <c r="AF118" s="371" t="str">
        <f>IFERROR(IF(AE118=0,"NA",
IF(G118="N",IF(OR(J118="PBV",J118="HCV",(AC118-Y118)&lt;=(INDEX(Data!$C$29:$J$46,MATCH('Rent Roll'!$K118,Data!$B$29:$B$46,0),MATCH($M118,Data!$C$28:$J$28,0))/12*0.3)),"Y","N"),
IF(OR(J118="PBV",J118="HCV",AND((AC118/R118-1)&lt;=0.05,(AC118-Y118)&lt;=(N118/12*0.3))),"Y","N"))),"NA")</f>
        <v>NA</v>
      </c>
    </row>
    <row r="119" spans="2:32" x14ac:dyDescent="0.3">
      <c r="B119" s="271">
        <v>96</v>
      </c>
      <c r="C119" s="268" t="s">
        <v>130</v>
      </c>
      <c r="D119" s="212"/>
      <c r="E119" s="213" t="s">
        <v>131</v>
      </c>
      <c r="F119" s="214">
        <v>0</v>
      </c>
      <c r="G119" s="280" t="s">
        <v>132</v>
      </c>
      <c r="H119" s="287">
        <v>0</v>
      </c>
      <c r="I119" s="292">
        <f t="shared" si="18"/>
        <v>0</v>
      </c>
      <c r="J119" s="297" t="s">
        <v>131</v>
      </c>
      <c r="K119" s="282" t="s">
        <v>131</v>
      </c>
      <c r="L119" s="219" t="s">
        <v>131</v>
      </c>
      <c r="M119" s="337" t="s">
        <v>131</v>
      </c>
      <c r="N119" s="332">
        <v>0</v>
      </c>
      <c r="O119" s="337" t="s">
        <v>131</v>
      </c>
      <c r="P119" s="363" t="str">
        <f>IFERROR(INDEX(Data!$B$28:$B$46,MATCH('Rent Roll'!$N119,INDEX(Data!$B$28:$J$46,,MATCH('Rent Roll'!$O119,Data!$B$28:$J$28,0)),-1),1),"NA")</f>
        <v>NA</v>
      </c>
      <c r="Q119" s="280" t="s">
        <v>132</v>
      </c>
      <c r="R119" s="217">
        <v>0</v>
      </c>
      <c r="S119" s="77">
        <f t="shared" si="19"/>
        <v>0</v>
      </c>
      <c r="T119" s="116">
        <f t="shared" si="20"/>
        <v>0</v>
      </c>
      <c r="U119" s="217">
        <v>0</v>
      </c>
      <c r="V119" s="77">
        <f t="shared" si="21"/>
        <v>0</v>
      </c>
      <c r="W119" s="116">
        <f t="shared" si="25"/>
        <v>0</v>
      </c>
      <c r="X119" s="84">
        <f>IFERROR(IF(INDEX(AC$13:AC$17,MATCH($E119,$AB$13:$AB$17,0))&lt;&gt;0,INDEX(AC$13:AC$17,MATCH($E119,$AB$13:$AB$17,0)),
IF($N119="MKT",0,IF($L119="HUD FMR",INDEX(Data!$B$21:$G$21,MATCH($E119,Data!$B$9:$G$9,0))*$N119,INDEX(Data!$B$9:$G$22,MATCH($K119,Data!$B$9:$B$22,0),MATCH($E119,Data!$B$9:$G$9,0))))),0)</f>
        <v>0</v>
      </c>
      <c r="Y119" s="84">
        <f>IFERROR(IF(INDEX(AD$13:AD$17,MATCH($E119,$AB$13:$AB$17,0))&lt;&gt;0,INDEX(AD$13:AD$17,MATCH($E119,$AB$13:$AB$17,0)),
IF($K119="MKT",0,-INDEX(Data!$B$22:$G$22,MATCH($E119,Data!$B$9:$G$9,0)))),0)</f>
        <v>0</v>
      </c>
      <c r="Z119" s="88">
        <f t="shared" si="22"/>
        <v>0</v>
      </c>
      <c r="AA119" s="77">
        <f t="shared" si="23"/>
        <v>0</v>
      </c>
      <c r="AB119" s="116">
        <f t="shared" si="26"/>
        <v>0</v>
      </c>
      <c r="AC119" s="97">
        <f t="shared" si="27"/>
        <v>0</v>
      </c>
      <c r="AD119" s="100">
        <f t="shared" si="24"/>
        <v>0</v>
      </c>
      <c r="AE119" s="116">
        <f t="shared" si="28"/>
        <v>0</v>
      </c>
      <c r="AF119" s="371" t="str">
        <f>IFERROR(IF(AE119=0,"NA",
IF(G119="N",IF(OR(J119="PBV",J119="HCV",(AC119-Y119)&lt;=(INDEX(Data!$C$29:$J$46,MATCH('Rent Roll'!$K119,Data!$B$29:$B$46,0),MATCH($M119,Data!$C$28:$J$28,0))/12*0.3)),"Y","N"),
IF(OR(J119="PBV",J119="HCV",AND((AC119/R119-1)&lt;=0.05,(AC119-Y119)&lt;=(N119/12*0.3))),"Y","N"))),"NA")</f>
        <v>NA</v>
      </c>
    </row>
    <row r="120" spans="2:32" x14ac:dyDescent="0.3">
      <c r="B120" s="271">
        <v>97</v>
      </c>
      <c r="C120" s="268" t="s">
        <v>130</v>
      </c>
      <c r="D120" s="212"/>
      <c r="E120" s="213" t="s">
        <v>131</v>
      </c>
      <c r="F120" s="214">
        <v>0</v>
      </c>
      <c r="G120" s="280" t="s">
        <v>132</v>
      </c>
      <c r="H120" s="287">
        <v>0</v>
      </c>
      <c r="I120" s="292">
        <f>F120*H120</f>
        <v>0</v>
      </c>
      <c r="J120" s="297" t="s">
        <v>131</v>
      </c>
      <c r="K120" s="282" t="s">
        <v>131</v>
      </c>
      <c r="L120" s="219" t="s">
        <v>131</v>
      </c>
      <c r="M120" s="337" t="s">
        <v>131</v>
      </c>
      <c r="N120" s="332">
        <v>0</v>
      </c>
      <c r="O120" s="337" t="s">
        <v>131</v>
      </c>
      <c r="P120" s="363" t="str">
        <f>IFERROR(INDEX(Data!$B$28:$B$46,MATCH('Rent Roll'!$N120,INDEX(Data!$B$28:$J$46,,MATCH('Rent Roll'!$O120,Data!$B$28:$J$28,0)),-1),1),"NA")</f>
        <v>NA</v>
      </c>
      <c r="Q120" s="280" t="s">
        <v>132</v>
      </c>
      <c r="R120" s="217">
        <v>0</v>
      </c>
      <c r="S120" s="77">
        <f>IFERROR(R120/$F120,0)</f>
        <v>0</v>
      </c>
      <c r="T120" s="116">
        <f t="shared" si="20"/>
        <v>0</v>
      </c>
      <c r="U120" s="217">
        <v>0</v>
      </c>
      <c r="V120" s="77">
        <f>IFERROR(U120/$F120,0)</f>
        <v>0</v>
      </c>
      <c r="W120" s="116">
        <f t="shared" si="25"/>
        <v>0</v>
      </c>
      <c r="X120" s="84">
        <f>IFERROR(IF(INDEX(AC$13:AC$17,MATCH($E120,$AB$13:$AB$17,0))&lt;&gt;0,INDEX(AC$13:AC$17,MATCH($E120,$AB$13:$AB$17,0)),
IF($N120="MKT",0,IF($L120="HUD FMR",INDEX(Data!$B$21:$G$21,MATCH($E120,Data!$B$9:$G$9,0))*$N120,INDEX(Data!$B$9:$G$22,MATCH($K120,Data!$B$9:$B$22,0),MATCH($E120,Data!$B$9:$G$9,0))))),0)</f>
        <v>0</v>
      </c>
      <c r="Y120" s="84">
        <f>IFERROR(IF(INDEX(AD$13:AD$17,MATCH($E120,$AB$13:$AB$17,0))&lt;&gt;0,INDEX(AD$13:AD$17,MATCH($E120,$AB$13:$AB$17,0)),
IF($K120="MKT",0,-INDEX(Data!$B$22:$G$22,MATCH($E120,Data!$B$9:$G$9,0)))),0)</f>
        <v>0</v>
      </c>
      <c r="Z120" s="88">
        <f>SUM(X120:Y120)</f>
        <v>0</v>
      </c>
      <c r="AA120" s="77">
        <f>IFERROR(Z120/$F120,0)</f>
        <v>0</v>
      </c>
      <c r="AB120" s="116">
        <f t="shared" si="26"/>
        <v>0</v>
      </c>
      <c r="AC120" s="97">
        <f t="shared" si="27"/>
        <v>0</v>
      </c>
      <c r="AD120" s="100">
        <f>IFERROR(AC120/$F120,0)</f>
        <v>0</v>
      </c>
      <c r="AE120" s="116">
        <f t="shared" si="28"/>
        <v>0</v>
      </c>
      <c r="AF120" s="371" t="str">
        <f>IFERROR(IF(AE120=0,"NA",
IF(G120="N",IF(OR(J120="PBV",J120="HCV",(AC120-Y120)&lt;=(INDEX(Data!$C$29:$J$46,MATCH('Rent Roll'!$K120,Data!$B$29:$B$46,0),MATCH($M120,Data!$C$28:$J$28,0))/12*0.3)),"Y","N"),
IF(OR(J120="PBV",J120="HCV",AND((AC120/R120-1)&lt;=0.05,(AC120-Y120)&lt;=(N120/12*0.3))),"Y","N"))),"NA")</f>
        <v>NA</v>
      </c>
    </row>
    <row r="121" spans="2:32" x14ac:dyDescent="0.3">
      <c r="B121" s="271">
        <v>98</v>
      </c>
      <c r="C121" s="268" t="s">
        <v>130</v>
      </c>
      <c r="D121" s="212"/>
      <c r="E121" s="213" t="s">
        <v>131</v>
      </c>
      <c r="F121" s="214">
        <v>0</v>
      </c>
      <c r="G121" s="280" t="s">
        <v>132</v>
      </c>
      <c r="H121" s="287">
        <v>0</v>
      </c>
      <c r="I121" s="292">
        <f>F121*H121</f>
        <v>0</v>
      </c>
      <c r="J121" s="297" t="s">
        <v>131</v>
      </c>
      <c r="K121" s="282" t="s">
        <v>131</v>
      </c>
      <c r="L121" s="219" t="s">
        <v>131</v>
      </c>
      <c r="M121" s="337" t="s">
        <v>131</v>
      </c>
      <c r="N121" s="332">
        <v>0</v>
      </c>
      <c r="O121" s="337" t="s">
        <v>131</v>
      </c>
      <c r="P121" s="363" t="str">
        <f>IFERROR(INDEX(Data!$B$28:$B$46,MATCH('Rent Roll'!$N121,INDEX(Data!$B$28:$J$46,,MATCH('Rent Roll'!$O121,Data!$B$28:$J$28,0)),-1),1),"NA")</f>
        <v>NA</v>
      </c>
      <c r="Q121" s="280" t="s">
        <v>132</v>
      </c>
      <c r="R121" s="217">
        <v>0</v>
      </c>
      <c r="S121" s="77">
        <f>IFERROR(R121/$F121,0)</f>
        <v>0</v>
      </c>
      <c r="T121" s="116">
        <f t="shared" si="20"/>
        <v>0</v>
      </c>
      <c r="U121" s="217">
        <v>0</v>
      </c>
      <c r="V121" s="77">
        <f>IFERROR(U121/$F121,0)</f>
        <v>0</v>
      </c>
      <c r="W121" s="116">
        <f t="shared" si="25"/>
        <v>0</v>
      </c>
      <c r="X121" s="84">
        <f>IFERROR(IF(INDEX(AC$13:AC$17,MATCH($E121,$AB$13:$AB$17,0))&lt;&gt;0,INDEX(AC$13:AC$17,MATCH($E121,$AB$13:$AB$17,0)),
IF($N121="MKT",0,IF($L121="HUD FMR",INDEX(Data!$B$21:$G$21,MATCH($E121,Data!$B$9:$G$9,0))*$N121,INDEX(Data!$B$9:$G$22,MATCH($K121,Data!$B$9:$B$22,0),MATCH($E121,Data!$B$9:$G$9,0))))),0)</f>
        <v>0</v>
      </c>
      <c r="Y121" s="84">
        <f>IFERROR(IF(INDEX(AD$13:AD$17,MATCH($E121,$AB$13:$AB$17,0))&lt;&gt;0,INDEX(AD$13:AD$17,MATCH($E121,$AB$13:$AB$17,0)),
IF($K121="MKT",0,-INDEX(Data!$B$22:$G$22,MATCH($E121,Data!$B$9:$G$9,0)))),0)</f>
        <v>0</v>
      </c>
      <c r="Z121" s="88">
        <f>SUM(X121:Y121)</f>
        <v>0</v>
      </c>
      <c r="AA121" s="77">
        <f>IFERROR(Z121/$F121,0)</f>
        <v>0</v>
      </c>
      <c r="AB121" s="116">
        <f t="shared" si="26"/>
        <v>0</v>
      </c>
      <c r="AC121" s="97">
        <f t="shared" si="27"/>
        <v>0</v>
      </c>
      <c r="AD121" s="100">
        <f>IFERROR(AC121/$F121,0)</f>
        <v>0</v>
      </c>
      <c r="AE121" s="116">
        <f t="shared" si="28"/>
        <v>0</v>
      </c>
      <c r="AF121" s="371" t="str">
        <f>IFERROR(IF(AE121=0,"NA",
IF(G121="N",IF(OR(J121="PBV",J121="HCV",(AC121-Y121)&lt;=(INDEX(Data!$C$29:$J$46,MATCH('Rent Roll'!$K121,Data!$B$29:$B$46,0),MATCH($M121,Data!$C$28:$J$28,0))/12*0.3)),"Y","N"),
IF(OR(J121="PBV",J121="HCV",AND((AC121/R121-1)&lt;=0.05,(AC121-Y121)&lt;=(N121/12*0.3))),"Y","N"))),"NA")</f>
        <v>NA</v>
      </c>
    </row>
    <row r="122" spans="2:32" x14ac:dyDescent="0.3">
      <c r="B122" s="271">
        <v>99</v>
      </c>
      <c r="C122" s="268" t="s">
        <v>130</v>
      </c>
      <c r="D122" s="212"/>
      <c r="E122" s="213" t="s">
        <v>131</v>
      </c>
      <c r="F122" s="214">
        <v>0</v>
      </c>
      <c r="G122" s="280" t="s">
        <v>132</v>
      </c>
      <c r="H122" s="287">
        <v>0</v>
      </c>
      <c r="I122" s="292">
        <f>F122*H122</f>
        <v>0</v>
      </c>
      <c r="J122" s="297" t="s">
        <v>131</v>
      </c>
      <c r="K122" s="282" t="s">
        <v>131</v>
      </c>
      <c r="L122" s="219" t="s">
        <v>131</v>
      </c>
      <c r="M122" s="337" t="s">
        <v>131</v>
      </c>
      <c r="N122" s="332">
        <v>0</v>
      </c>
      <c r="O122" s="337" t="s">
        <v>131</v>
      </c>
      <c r="P122" s="363" t="str">
        <f>IFERROR(INDEX(Data!$B$28:$B$46,MATCH('Rent Roll'!$N122,INDEX(Data!$B$28:$J$46,,MATCH('Rent Roll'!$O122,Data!$B$28:$J$28,0)),-1),1),"NA")</f>
        <v>NA</v>
      </c>
      <c r="Q122" s="280" t="s">
        <v>132</v>
      </c>
      <c r="R122" s="217">
        <v>0</v>
      </c>
      <c r="S122" s="77">
        <f>IFERROR(R122/$F122,0)</f>
        <v>0</v>
      </c>
      <c r="T122" s="116">
        <f t="shared" si="20"/>
        <v>0</v>
      </c>
      <c r="U122" s="217">
        <v>0</v>
      </c>
      <c r="V122" s="77">
        <f>IFERROR(U122/$F122,0)</f>
        <v>0</v>
      </c>
      <c r="W122" s="116">
        <f t="shared" si="25"/>
        <v>0</v>
      </c>
      <c r="X122" s="84">
        <f>IFERROR(IF(INDEX(AC$13:AC$17,MATCH($E122,$AB$13:$AB$17,0))&lt;&gt;0,INDEX(AC$13:AC$17,MATCH($E122,$AB$13:$AB$17,0)),
IF($N122="MKT",0,IF($L122="HUD FMR",INDEX(Data!$B$21:$G$21,MATCH($E122,Data!$B$9:$G$9,0))*$N122,INDEX(Data!$B$9:$G$22,MATCH($K122,Data!$B$9:$B$22,0),MATCH($E122,Data!$B$9:$G$9,0))))),0)</f>
        <v>0</v>
      </c>
      <c r="Y122" s="84">
        <f>IFERROR(IF(INDEX(AD$13:AD$17,MATCH($E122,$AB$13:$AB$17,0))&lt;&gt;0,INDEX(AD$13:AD$17,MATCH($E122,$AB$13:$AB$17,0)),
IF($K122="MKT",0,-INDEX(Data!$B$22:$G$22,MATCH($E122,Data!$B$9:$G$9,0)))),0)</f>
        <v>0</v>
      </c>
      <c r="Z122" s="88">
        <f>SUM(X122:Y122)</f>
        <v>0</v>
      </c>
      <c r="AA122" s="77">
        <f>IFERROR(Z122/$F122,0)</f>
        <v>0</v>
      </c>
      <c r="AB122" s="116">
        <f t="shared" si="26"/>
        <v>0</v>
      </c>
      <c r="AC122" s="97">
        <f t="shared" si="27"/>
        <v>0</v>
      </c>
      <c r="AD122" s="100">
        <f>IFERROR(AC122/$F122,0)</f>
        <v>0</v>
      </c>
      <c r="AE122" s="116">
        <f t="shared" si="28"/>
        <v>0</v>
      </c>
      <c r="AF122" s="371" t="str">
        <f>IFERROR(IF(AE122=0,"NA",
IF(G122="N",IF(OR(J122="PBV",J122="HCV",(AC122-Y122)&lt;=(INDEX(Data!$C$29:$J$46,MATCH('Rent Roll'!$K122,Data!$B$29:$B$46,0),MATCH($M122,Data!$C$28:$J$28,0))/12*0.3)),"Y","N"),
IF(OR(J122="PBV",J122="HCV",AND((AC122/R122-1)&lt;=0.05,(AC122-Y122)&lt;=(N122/12*0.3))),"Y","N"))),"NA")</f>
        <v>NA</v>
      </c>
    </row>
    <row r="123" spans="2:32" x14ac:dyDescent="0.3">
      <c r="B123" s="271">
        <v>100</v>
      </c>
      <c r="C123" s="268" t="s">
        <v>130</v>
      </c>
      <c r="D123" s="212"/>
      <c r="E123" s="215" t="s">
        <v>131</v>
      </c>
      <c r="F123" s="214">
        <v>0</v>
      </c>
      <c r="G123" s="280" t="s">
        <v>132</v>
      </c>
      <c r="H123" s="287">
        <v>0</v>
      </c>
      <c r="I123" s="292">
        <f>F123*H123</f>
        <v>0</v>
      </c>
      <c r="J123" s="297" t="s">
        <v>131</v>
      </c>
      <c r="K123" s="283" t="s">
        <v>131</v>
      </c>
      <c r="L123" s="220" t="s">
        <v>131</v>
      </c>
      <c r="M123" s="338" t="s">
        <v>131</v>
      </c>
      <c r="N123" s="333">
        <v>0</v>
      </c>
      <c r="O123" s="338" t="s">
        <v>131</v>
      </c>
      <c r="P123" s="363" t="str">
        <f>IFERROR(INDEX(Data!$B$28:$B$46,MATCH('Rent Roll'!$N123,INDEX(Data!$B$28:$J$46,,MATCH('Rent Roll'!$O123,Data!$B$28:$J$28,0)),-1),1),"NA")</f>
        <v>NA</v>
      </c>
      <c r="Q123" s="280" t="s">
        <v>132</v>
      </c>
      <c r="R123" s="217">
        <v>0</v>
      </c>
      <c r="S123" s="78">
        <f>IFERROR(R123/$F123,0)</f>
        <v>0</v>
      </c>
      <c r="T123" s="116">
        <f t="shared" si="20"/>
        <v>0</v>
      </c>
      <c r="U123" s="217">
        <v>0</v>
      </c>
      <c r="V123" s="78">
        <f>IFERROR(U123/$F123,0)</f>
        <v>0</v>
      </c>
      <c r="W123" s="116">
        <f t="shared" si="25"/>
        <v>0</v>
      </c>
      <c r="X123" s="85">
        <f>IFERROR(IF(INDEX(AC$13:AC$17,MATCH($E123,$AB$13:$AB$17,0))&lt;&gt;0,INDEX(AC$13:AC$17,MATCH($E123,$AB$13:$AB$17,0)),
IF($N123="MKT",0,IF($L123="HUD FMR",INDEX(Data!$B$21:$G$21,MATCH($E123,Data!$B$9:$G$9,0))*$N123,INDEX(Data!$B$9:$G$22,MATCH($K123,Data!$B$9:$B$22,0),MATCH($E123,Data!$B$9:$G$9,0))))),0)</f>
        <v>0</v>
      </c>
      <c r="Y123" s="85">
        <f>IFERROR(IF(INDEX(AD$13:AD$17,MATCH($E123,$AB$13:$AB$17,0))&lt;&gt;0,INDEX(AD$13:AD$17,MATCH($E123,$AB$13:$AB$17,0)),
IF($K123="MKT",0,-INDEX(Data!$B$22:$G$22,MATCH($E123,Data!$B$9:$G$9,0)))),0)</f>
        <v>0</v>
      </c>
      <c r="Z123" s="88">
        <f>SUM(X123:Y123)</f>
        <v>0</v>
      </c>
      <c r="AA123" s="78">
        <f>IFERROR(Z123/$F123,0)</f>
        <v>0</v>
      </c>
      <c r="AB123" s="116">
        <f t="shared" si="26"/>
        <v>0</v>
      </c>
      <c r="AC123" s="98">
        <f t="shared" si="27"/>
        <v>0</v>
      </c>
      <c r="AD123" s="101">
        <f>IFERROR(AC123/$F123,0)</f>
        <v>0</v>
      </c>
      <c r="AE123" s="116">
        <f t="shared" si="28"/>
        <v>0</v>
      </c>
      <c r="AF123" s="371" t="str">
        <f>IFERROR(IF(AE123=0,"NA",
IF(G123="N",IF(OR(J123="PBV",J123="HCV",(AC123-Y123)&lt;=(INDEX(Data!$C$29:$J$46,MATCH('Rent Roll'!$K123,Data!$B$29:$B$46,0),MATCH($M123,Data!$C$28:$J$28,0))/12*0.3)),"Y","N"),
IF(OR(J123="PBV",J123="HCV",AND((AC123/R123-1)&lt;=0.05,(AC123-Y123)&lt;=(N123/12*0.3))),"Y","N"))),"NA")</f>
        <v>NA</v>
      </c>
    </row>
    <row r="124" spans="2:32" x14ac:dyDescent="0.3">
      <c r="B124" s="50"/>
      <c r="C124" s="269" t="s">
        <v>133</v>
      </c>
      <c r="D124" s="51"/>
      <c r="E124" s="52"/>
      <c r="F124" s="290">
        <f>IFERROR(AVERAGEIFS(F24:F123,$F$24:$F$123,"&gt;0"),0)</f>
        <v>0</v>
      </c>
      <c r="G124" s="289">
        <f>SUMIFS($H$24:$H$123,$G$24:$G$123,"Y")</f>
        <v>0</v>
      </c>
      <c r="H124" s="289">
        <f>SUM(H24:H123)</f>
        <v>0</v>
      </c>
      <c r="I124" s="289">
        <f>SUM(I24:I123)</f>
        <v>0</v>
      </c>
      <c r="J124" s="295"/>
      <c r="K124" s="285" t="str">
        <f ca="1">IF(H124=0,"NA",IF(SUMIFS(OFFSET($H$21,1,0):OFFSET($H$124,-1,0),OFFSET($K$21,1,0):OFFSET($K$124,-1,0),"PSH")=H124,"NA - All PSH",IFERROR(ROUNDUP(SUMPRODUCT(OFFSET($H$21,1,0):OFFSET($H$124,-1,0),OFFSET(K$21,1,0):OFFSET(K$124,-1,0))/SUMIFS(OFFSET($H$21,1,0):OFFSET($H$124,-1,0),OFFSET(K$21,1,0):OFFSET(K$124,-1,0),"&gt;0"),2),0)))</f>
        <v>NA</v>
      </c>
      <c r="L124" s="95"/>
      <c r="M124" s="95"/>
      <c r="N124" s="95"/>
      <c r="O124" s="95"/>
      <c r="P124" s="285">
        <f ca="1">IFERROR(ROUNDUP(SUMPRODUCT(OFFSET($H$21,1,0):OFFSET($H$124,-1,0),OFFSET(P$21,1,0):OFFSET(P$124,-1,0))/SUMIFS(OFFSET($H$21,1,0):OFFSET($H$124,-1,0),OFFSET(P$21,1,0):OFFSET(P$124,-1,0),"&gt;0"),2),0)</f>
        <v>0</v>
      </c>
      <c r="Q124" s="95"/>
      <c r="R124" s="91">
        <f ca="1">IFERROR(SUMPRODUCT(OFFSET($G$22,1,0):OFFSET($G$124,-1,0),OFFSET(R$22,1,0):OFFSET(R$124,-1,0))/$G124,0)</f>
        <v>0</v>
      </c>
      <c r="S124" s="92">
        <f ca="1">IFERROR(R124/$F124,0)</f>
        <v>0</v>
      </c>
      <c r="T124" s="113">
        <f ca="1">SUM(OFFSET(T$23,1,0):OFFSET(T$124,-1,0))</f>
        <v>0</v>
      </c>
      <c r="U124" s="91">
        <f ca="1">IFERROR(SUMPRODUCT(OFFSET($H$22,1,0):OFFSET($H$124,-1,0),OFFSET(U$22,1,0):OFFSET(U$124,-1,0))/$H124,0)</f>
        <v>0</v>
      </c>
      <c r="V124" s="92">
        <f ca="1">IFERROR(U124/$F124,0)</f>
        <v>0</v>
      </c>
      <c r="W124" s="113">
        <f ca="1">SUM(OFFSET(W$23,1,0):OFFSET(W$124,-1,0))</f>
        <v>0</v>
      </c>
      <c r="X124" s="94">
        <f ca="1">IFERROR(SUMPRODUCT(OFFSET($H$22,1,0):OFFSET($H$124,-1,0),OFFSET(X$22,1,0):OFFSET(X$124,-1,0))/$H124,0)</f>
        <v>0</v>
      </c>
      <c r="Y124" s="94">
        <f ca="1">IFERROR(SUMPRODUCT(OFFSET($H$22,1,0):OFFSET($H$124,-1,0),OFFSET(Y$22,1,0):OFFSET(Y$124,-1,0))/$H124,0)</f>
        <v>0</v>
      </c>
      <c r="Z124" s="94">
        <f ca="1">IFERROR(SUMPRODUCT(OFFSET($H$22,1,0):OFFSET($H$124,-1,0),OFFSET(Z$22,1,0):OFFSET(Z$124,-1,0))/$H124,0)</f>
        <v>0</v>
      </c>
      <c r="AA124" s="92">
        <f ca="1">IFERROR(Z124/$F124,0)</f>
        <v>0</v>
      </c>
      <c r="AB124" s="113">
        <f ca="1">SUM(OFFSET(AB$23,1,0):OFFSET(AB$124,-1,0))</f>
        <v>0</v>
      </c>
      <c r="AC124" s="94">
        <f ca="1">IFERROR(SUMPRODUCT(OFFSET($H$22,1,0):OFFSET($H$124,-1,0),OFFSET(AC$22,1,0):OFFSET(AC$124,-1,0))/$H124,0)</f>
        <v>0</v>
      </c>
      <c r="AD124" s="102">
        <f ca="1">IFERROR(AC124/$F124,0)</f>
        <v>0</v>
      </c>
      <c r="AE124" s="113">
        <f ca="1">SUM(OFFSET(AE$23,1,0):OFFSET(AE$124,-1,0))</f>
        <v>0</v>
      </c>
      <c r="AF124" s="368"/>
    </row>
    <row r="125" spans="2:32" x14ac:dyDescent="0.3">
      <c r="B125" s="34"/>
      <c r="C125" s="48"/>
      <c r="D125" s="39"/>
      <c r="E125" s="46"/>
      <c r="F125" s="286"/>
      <c r="G125" s="423">
        <f>IFERROR(G124/H124,0)</f>
        <v>0</v>
      </c>
      <c r="H125" s="288"/>
      <c r="I125" s="288"/>
      <c r="J125" s="49"/>
      <c r="K125" s="284" t="str">
        <f ca="1">IF(H124=0,"NA",IF(SUMIFS(OFFSET($H$21,1,0):OFFSET($H$124,-1,0),OFFSET($K$21,1,0):OFFSET($K$124,-1,0),"PSH")=H124,"NA - All PSH",SUMIFS(OFFSET($H$21,1,0):OFFSET($H$124,-1,0),OFFSET(K$21,1,0):OFFSET(K$124,-1,0),"&gt;0")/$H$124))</f>
        <v>NA</v>
      </c>
      <c r="L125" s="39"/>
      <c r="M125" s="39"/>
      <c r="N125" s="284"/>
      <c r="O125" s="284"/>
      <c r="P125" s="284">
        <f ca="1">IFERROR(SUMIFS(OFFSET($H$21,1,0):OFFSET($H$124,-1,0),OFFSET(P$21,1,0):OFFSET(P$124,-1,0),"&gt;0")/$H$124,0)</f>
        <v>0</v>
      </c>
      <c r="Q125" s="284"/>
      <c r="R125" s="49"/>
      <c r="S125" s="40"/>
      <c r="T125" s="114"/>
      <c r="U125" s="49"/>
      <c r="V125" s="40"/>
      <c r="W125" s="108"/>
      <c r="X125" s="39"/>
      <c r="Y125" s="46"/>
      <c r="Z125" s="48"/>
      <c r="AA125" s="48"/>
      <c r="AB125" s="108"/>
      <c r="AC125" s="39"/>
      <c r="AD125" s="48"/>
      <c r="AE125" s="108"/>
      <c r="AF125" s="369"/>
    </row>
  </sheetData>
  <sheetProtection algorithmName="SHA-512" hashValue="LD/7dkqSCOu4kxXCcIn0pkmVBd9P7zKsNMDqM6Mefr7jz0j1p7b6i1f7pm0iAS/87nrBUJYf3JsFm8SMxHFUUA==" saltValue="1hteEnD9AQCy730cncrJrw==" spinCount="100000" sheet="1"/>
  <protectedRanges>
    <protectedRange sqref="B24:H123 J24:O123 Q24:R123 U24:U123 AC13:AD17 Z6:Z17" name="Rent Roll"/>
  </protectedRanges>
  <mergeCells count="37">
    <mergeCell ref="O21:O23"/>
    <mergeCell ref="X21:AB21"/>
    <mergeCell ref="U22:U23"/>
    <mergeCell ref="X22:X23"/>
    <mergeCell ref="Y22:Y23"/>
    <mergeCell ref="S22:S23"/>
    <mergeCell ref="R21:T21"/>
    <mergeCell ref="R22:R23"/>
    <mergeCell ref="P21:P23"/>
    <mergeCell ref="AF21:AF23"/>
    <mergeCell ref="T22:T23"/>
    <mergeCell ref="AC21:AE21"/>
    <mergeCell ref="AD22:AD23"/>
    <mergeCell ref="AE22:AE23"/>
    <mergeCell ref="U21:W21"/>
    <mergeCell ref="W22:W23"/>
    <mergeCell ref="AC22:AC23"/>
    <mergeCell ref="AB22:AB23"/>
    <mergeCell ref="V22:V23"/>
    <mergeCell ref="Z22:Z23"/>
    <mergeCell ref="AA22:AA23"/>
    <mergeCell ref="X5:Y5"/>
    <mergeCell ref="B4:K9"/>
    <mergeCell ref="N20:T20"/>
    <mergeCell ref="K21:K23"/>
    <mergeCell ref="E21:E23"/>
    <mergeCell ref="F21:F23"/>
    <mergeCell ref="H21:H23"/>
    <mergeCell ref="I21:I23"/>
    <mergeCell ref="Q21:Q23"/>
    <mergeCell ref="M21:M23"/>
    <mergeCell ref="B21:B23"/>
    <mergeCell ref="G21:G23"/>
    <mergeCell ref="J21:J23"/>
    <mergeCell ref="C21:D23"/>
    <mergeCell ref="N21:N23"/>
    <mergeCell ref="L21:L23"/>
  </mergeCells>
  <conditionalFormatting sqref="H24:H123">
    <cfRule type="expression" dxfId="1" priority="2">
      <formula>AND(H24&gt;1,G24="Y")</formula>
    </cfRule>
  </conditionalFormatting>
  <dataValidations count="1">
    <dataValidation type="custom" allowBlank="1" showInputMessage="1" showErrorMessage="1" errorTitle="Invalid Unit Count" error="Please input all occupied units individually." sqref="H24:H123" xr:uid="{DA0609D5-5CF3-48C0-B961-D8DEB318FB1C}">
      <formula1>OR(G24="N",AND(H24=1,G24="Y"))</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20537C0F-58BE-479D-AF96-B7D15026D685}">
          <x14:formula1>
            <xm:f>List!$D$5:$D$18</xm:f>
          </x14:formula1>
          <xm:sqref>K24:K123</xm:sqref>
        </x14:dataValidation>
        <x14:dataValidation type="list" allowBlank="1" showInputMessage="1" showErrorMessage="1" xr:uid="{5700FE56-E0AF-458C-94EF-E0EDAEC42B35}">
          <x14:formula1>
            <xm:f>List!$H$5:$H$8</xm:f>
          </x14:formula1>
          <xm:sqref>L24:L123</xm:sqref>
        </x14:dataValidation>
        <x14:dataValidation type="list" allowBlank="1" showInputMessage="1" showErrorMessage="1" xr:uid="{A1E14FD1-180B-43C9-ABFD-19B958D09375}">
          <x14:formula1>
            <xm:f>List!$B$5:$B$10</xm:f>
          </x14:formula1>
          <xm:sqref>E24:E123</xm:sqref>
        </x14:dataValidation>
        <x14:dataValidation type="list" allowBlank="1" showInputMessage="1" showErrorMessage="1" xr:uid="{376C3866-34EA-4CF1-8A99-34191E357CC3}">
          <x14:formula1>
            <xm:f>List!$D$5:$D$17</xm:f>
          </x14:formula1>
          <xm:sqref>K24:K123</xm:sqref>
        </x14:dataValidation>
        <x14:dataValidation type="list" allowBlank="1" showInputMessage="1" showErrorMessage="1" xr:uid="{FFB0F304-4B89-4218-828F-3898690A9133}">
          <x14:formula1>
            <xm:f>List!$AG$5:$AG$13</xm:f>
          </x14:formula1>
          <xm:sqref>O24:O123 M24:M123</xm:sqref>
        </x14:dataValidation>
        <x14:dataValidation type="list" allowBlank="1" showInputMessage="1" showErrorMessage="1" xr:uid="{27EB1B5A-7275-4F86-9A68-8CC6F6E88449}">
          <x14:formula1>
            <xm:f>List!$W$5:$W$6</xm:f>
          </x14:formula1>
          <xm:sqref>G24:G123 Q24:Q123 Z6:Z17</xm:sqref>
        </x14:dataValidation>
        <x14:dataValidation type="list" allowBlank="1" showInputMessage="1" showErrorMessage="1" xr:uid="{8AB8BD0A-EB6B-46FB-A5A5-7A913F513F25}">
          <x14:formula1>
            <xm:f>List!$F$5:$F$10</xm:f>
          </x14:formula1>
          <xm:sqref>J24:J123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41"/>
  <sheetViews>
    <sheetView showGridLines="0" zoomScale="130" zoomScaleNormal="130" workbookViewId="0"/>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134</v>
      </c>
    </row>
    <row r="3" spans="2:10" s="5" customFormat="1" ht="15" customHeight="1" x14ac:dyDescent="0.3"/>
    <row r="4" spans="2:10" s="5" customFormat="1" ht="15" customHeight="1" x14ac:dyDescent="0.3">
      <c r="B4" s="482" t="s">
        <v>135</v>
      </c>
      <c r="C4" s="483"/>
      <c r="D4" s="483"/>
      <c r="E4" s="483"/>
      <c r="F4" s="484"/>
      <c r="G4"/>
      <c r="H4"/>
    </row>
    <row r="5" spans="2:10" s="5" customFormat="1" ht="15" customHeight="1" x14ac:dyDescent="0.3">
      <c r="B5" s="485"/>
      <c r="C5" s="461"/>
      <c r="D5" s="461"/>
      <c r="E5" s="461"/>
      <c r="F5" s="486"/>
      <c r="G5"/>
      <c r="H5"/>
    </row>
    <row r="6" spans="2:10" s="5" customFormat="1" ht="15" customHeight="1" x14ac:dyDescent="0.3">
      <c r="B6" s="485"/>
      <c r="C6" s="461"/>
      <c r="D6" s="461"/>
      <c r="E6" s="461"/>
      <c r="F6" s="486"/>
      <c r="G6"/>
      <c r="H6"/>
    </row>
    <row r="7" spans="2:10" s="5" customFormat="1" ht="15" customHeight="1" x14ac:dyDescent="0.3">
      <c r="B7" s="485"/>
      <c r="C7" s="461"/>
      <c r="D7" s="461"/>
      <c r="E7" s="461"/>
      <c r="F7" s="486"/>
      <c r="G7"/>
      <c r="H7"/>
    </row>
    <row r="8" spans="2:10" s="5" customFormat="1" ht="15" customHeight="1" x14ac:dyDescent="0.3">
      <c r="B8" s="487"/>
      <c r="C8" s="488"/>
      <c r="D8" s="488"/>
      <c r="E8" s="488"/>
      <c r="F8" s="489"/>
      <c r="G8"/>
      <c r="H8"/>
    </row>
    <row r="9" spans="2:10" s="5" customFormat="1" ht="15" customHeight="1" x14ac:dyDescent="0.3"/>
    <row r="10" spans="2:10" s="5" customFormat="1" ht="15" customHeight="1" x14ac:dyDescent="0.3">
      <c r="B10" s="70" t="s">
        <v>3</v>
      </c>
      <c r="C10" s="221" t="s">
        <v>4</v>
      </c>
      <c r="D10" s="71" t="s">
        <v>5</v>
      </c>
      <c r="E10" s="72" t="s">
        <v>6</v>
      </c>
      <c r="F10"/>
    </row>
    <row r="11" spans="2:10" s="5" customFormat="1" ht="15" customHeight="1" x14ac:dyDescent="0.3"/>
    <row r="13" spans="2:10" x14ac:dyDescent="0.3">
      <c r="B13" s="41" t="s">
        <v>134</v>
      </c>
      <c r="C13" s="438"/>
      <c r="D13" s="438"/>
      <c r="E13" s="438"/>
      <c r="F13" s="438"/>
      <c r="G13" s="438"/>
      <c r="H13" s="439"/>
    </row>
    <row r="14" spans="2:10" ht="12.75" customHeight="1" x14ac:dyDescent="0.3">
      <c r="B14" s="399" t="s">
        <v>136</v>
      </c>
      <c r="C14" s="441"/>
      <c r="D14" s="435" t="s">
        <v>31</v>
      </c>
      <c r="E14" s="440" t="s">
        <v>32</v>
      </c>
      <c r="F14" s="440" t="s">
        <v>137</v>
      </c>
      <c r="G14" s="440" t="s">
        <v>138</v>
      </c>
      <c r="H14" s="432" t="s">
        <v>139</v>
      </c>
    </row>
    <row r="15" spans="2:10" x14ac:dyDescent="0.3">
      <c r="B15" s="395" t="s">
        <v>130</v>
      </c>
      <c r="C15" s="400"/>
      <c r="D15" s="407">
        <v>0</v>
      </c>
      <c r="E15" s="410">
        <f>IFERROR(D15/Overview!$D$32,0)</f>
        <v>0</v>
      </c>
      <c r="F15" s="404" t="s">
        <v>140</v>
      </c>
      <c r="G15" s="404" t="s">
        <v>140</v>
      </c>
      <c r="H15" s="403" t="s">
        <v>140</v>
      </c>
      <c r="J15" s="372"/>
    </row>
    <row r="16" spans="2:10" x14ac:dyDescent="0.3">
      <c r="B16" s="396" t="s">
        <v>130</v>
      </c>
      <c r="C16" s="317"/>
      <c r="D16" s="408">
        <v>0</v>
      </c>
      <c r="E16" s="411">
        <f>IFERROR(D16/Overview!$D$32,0)</f>
        <v>0</v>
      </c>
      <c r="F16" s="405" t="s">
        <v>140</v>
      </c>
      <c r="G16" s="402" t="s">
        <v>140</v>
      </c>
      <c r="H16" s="406" t="s">
        <v>140</v>
      </c>
      <c r="I16" s="80"/>
    </row>
    <row r="17" spans="2:8" x14ac:dyDescent="0.3">
      <c r="B17" s="396" t="s">
        <v>130</v>
      </c>
      <c r="C17" s="317"/>
      <c r="D17" s="408">
        <v>0</v>
      </c>
      <c r="E17" s="411">
        <f>IFERROR(D17/Overview!$D$32,0)</f>
        <v>0</v>
      </c>
      <c r="F17" s="405" t="s">
        <v>140</v>
      </c>
      <c r="G17" s="402" t="s">
        <v>140</v>
      </c>
      <c r="H17" s="406" t="s">
        <v>140</v>
      </c>
    </row>
    <row r="18" spans="2:8" x14ac:dyDescent="0.3">
      <c r="B18" s="396" t="s">
        <v>130</v>
      </c>
      <c r="C18" s="317"/>
      <c r="D18" s="408">
        <v>0</v>
      </c>
      <c r="E18" s="411">
        <f>IFERROR(D18/Overview!$D$32,0)</f>
        <v>0</v>
      </c>
      <c r="F18" s="405" t="s">
        <v>140</v>
      </c>
      <c r="G18" s="402" t="s">
        <v>140</v>
      </c>
      <c r="H18" s="406" t="s">
        <v>140</v>
      </c>
    </row>
    <row r="19" spans="2:8" x14ac:dyDescent="0.3">
      <c r="B19" s="396" t="s">
        <v>130</v>
      </c>
      <c r="C19" s="317"/>
      <c r="D19" s="408">
        <v>0</v>
      </c>
      <c r="E19" s="411">
        <f>IFERROR(D19/Overview!$D$32,0)</f>
        <v>0</v>
      </c>
      <c r="F19" s="405" t="s">
        <v>140</v>
      </c>
      <c r="G19" s="402" t="s">
        <v>140</v>
      </c>
      <c r="H19" s="406" t="s">
        <v>140</v>
      </c>
    </row>
    <row r="20" spans="2:8" x14ac:dyDescent="0.3">
      <c r="B20" s="396" t="s">
        <v>130</v>
      </c>
      <c r="C20" s="317"/>
      <c r="D20" s="408">
        <v>0</v>
      </c>
      <c r="E20" s="411">
        <f>IFERROR(D20/Overview!$D$32,0)</f>
        <v>0</v>
      </c>
      <c r="F20" s="405" t="s">
        <v>140</v>
      </c>
      <c r="G20" s="402" t="s">
        <v>140</v>
      </c>
      <c r="H20" s="406" t="s">
        <v>140</v>
      </c>
    </row>
    <row r="21" spans="2:8" x14ac:dyDescent="0.3">
      <c r="B21" s="396" t="s">
        <v>130</v>
      </c>
      <c r="C21" s="317"/>
      <c r="D21" s="408">
        <v>0</v>
      </c>
      <c r="E21" s="411">
        <f>IFERROR(D21/Overview!$D$32,0)</f>
        <v>0</v>
      </c>
      <c r="F21" s="405" t="s">
        <v>140</v>
      </c>
      <c r="G21" s="402" t="s">
        <v>140</v>
      </c>
      <c r="H21" s="406" t="s">
        <v>140</v>
      </c>
    </row>
    <row r="22" spans="2:8" x14ac:dyDescent="0.3">
      <c r="B22" s="396" t="s">
        <v>130</v>
      </c>
      <c r="C22" s="317"/>
      <c r="D22" s="408">
        <v>0</v>
      </c>
      <c r="E22" s="411">
        <f>IFERROR(D22/Overview!$D$32,0)</f>
        <v>0</v>
      </c>
      <c r="F22" s="405" t="s">
        <v>140</v>
      </c>
      <c r="G22" s="402" t="s">
        <v>140</v>
      </c>
      <c r="H22" s="406" t="s">
        <v>140</v>
      </c>
    </row>
    <row r="23" spans="2:8" x14ac:dyDescent="0.3">
      <c r="B23" s="396" t="s">
        <v>130</v>
      </c>
      <c r="C23" s="317"/>
      <c r="D23" s="408">
        <v>0</v>
      </c>
      <c r="E23" s="411">
        <f>IFERROR(D23/Overview!$D$32,0)</f>
        <v>0</v>
      </c>
      <c r="F23" s="405" t="s">
        <v>140</v>
      </c>
      <c r="G23" s="402" t="s">
        <v>140</v>
      </c>
      <c r="H23" s="406" t="s">
        <v>140</v>
      </c>
    </row>
    <row r="24" spans="2:8" x14ac:dyDescent="0.3">
      <c r="B24" s="396" t="s">
        <v>130</v>
      </c>
      <c r="C24" s="317"/>
      <c r="D24" s="408">
        <v>0</v>
      </c>
      <c r="E24" s="411">
        <f>IFERROR(D24/Overview!$D$32,0)</f>
        <v>0</v>
      </c>
      <c r="F24" s="405" t="s">
        <v>140</v>
      </c>
      <c r="G24" s="402" t="s">
        <v>140</v>
      </c>
      <c r="H24" s="406" t="s">
        <v>140</v>
      </c>
    </row>
    <row r="25" spans="2:8" x14ac:dyDescent="0.3">
      <c r="B25" s="396" t="s">
        <v>130</v>
      </c>
      <c r="C25" s="317"/>
      <c r="D25" s="408">
        <v>0</v>
      </c>
      <c r="E25" s="411">
        <f>IFERROR(D25/Overview!$D$32,0)</f>
        <v>0</v>
      </c>
      <c r="F25" s="405" t="s">
        <v>140</v>
      </c>
      <c r="G25" s="402" t="s">
        <v>140</v>
      </c>
      <c r="H25" s="406" t="s">
        <v>140</v>
      </c>
    </row>
    <row r="26" spans="2:8" x14ac:dyDescent="0.3">
      <c r="B26" s="396" t="s">
        <v>130</v>
      </c>
      <c r="C26" s="317"/>
      <c r="D26" s="408">
        <v>0</v>
      </c>
      <c r="E26" s="411">
        <f>IFERROR(D26/Overview!$D$32,0)</f>
        <v>0</v>
      </c>
      <c r="F26" s="405" t="s">
        <v>140</v>
      </c>
      <c r="G26" s="402" t="s">
        <v>140</v>
      </c>
      <c r="H26" s="406" t="s">
        <v>140</v>
      </c>
    </row>
    <row r="27" spans="2:8" x14ac:dyDescent="0.3">
      <c r="B27" s="396" t="s">
        <v>130</v>
      </c>
      <c r="C27" s="317"/>
      <c r="D27" s="408">
        <v>0</v>
      </c>
      <c r="E27" s="411">
        <f>IFERROR(D27/Overview!$D$32,0)</f>
        <v>0</v>
      </c>
      <c r="F27" s="405" t="s">
        <v>140</v>
      </c>
      <c r="G27" s="402" t="s">
        <v>140</v>
      </c>
      <c r="H27" s="406" t="s">
        <v>140</v>
      </c>
    </row>
    <row r="28" spans="2:8" x14ac:dyDescent="0.3">
      <c r="B28" s="396" t="s">
        <v>130</v>
      </c>
      <c r="C28" s="317"/>
      <c r="D28" s="408">
        <v>0</v>
      </c>
      <c r="E28" s="411">
        <f>IFERROR(D28/Overview!$D$32,0)</f>
        <v>0</v>
      </c>
      <c r="F28" s="405" t="s">
        <v>140</v>
      </c>
      <c r="G28" s="402" t="s">
        <v>140</v>
      </c>
      <c r="H28" s="406" t="s">
        <v>140</v>
      </c>
    </row>
    <row r="29" spans="2:8" x14ac:dyDescent="0.3">
      <c r="B29" s="396" t="s">
        <v>130</v>
      </c>
      <c r="C29" s="317"/>
      <c r="D29" s="408">
        <v>0</v>
      </c>
      <c r="E29" s="411">
        <f>IFERROR(D29/Overview!$D$32,0)</f>
        <v>0</v>
      </c>
      <c r="F29" s="405" t="s">
        <v>140</v>
      </c>
      <c r="G29" s="402" t="s">
        <v>140</v>
      </c>
      <c r="H29" s="406" t="s">
        <v>140</v>
      </c>
    </row>
    <row r="30" spans="2:8" x14ac:dyDescent="0.3">
      <c r="B30" s="396" t="s">
        <v>130</v>
      </c>
      <c r="C30" s="317"/>
      <c r="D30" s="408">
        <v>0</v>
      </c>
      <c r="E30" s="411">
        <f>IFERROR(D30/Overview!$D$32,0)</f>
        <v>0</v>
      </c>
      <c r="F30" s="405" t="s">
        <v>140</v>
      </c>
      <c r="G30" s="402" t="s">
        <v>140</v>
      </c>
      <c r="H30" s="406" t="s">
        <v>140</v>
      </c>
    </row>
    <row r="31" spans="2:8" x14ac:dyDescent="0.3">
      <c r="B31" s="396" t="s">
        <v>130</v>
      </c>
      <c r="C31" s="317"/>
      <c r="D31" s="408">
        <v>0</v>
      </c>
      <c r="E31" s="411">
        <f>IFERROR(D31/Overview!$D$32,0)</f>
        <v>0</v>
      </c>
      <c r="F31" s="405" t="s">
        <v>140</v>
      </c>
      <c r="G31" s="402" t="s">
        <v>140</v>
      </c>
      <c r="H31" s="406" t="s">
        <v>140</v>
      </c>
    </row>
    <row r="32" spans="2:8" x14ac:dyDescent="0.3">
      <c r="B32" s="396" t="s">
        <v>130</v>
      </c>
      <c r="C32" s="317"/>
      <c r="D32" s="408">
        <v>0</v>
      </c>
      <c r="E32" s="411">
        <f>IFERROR(D32/Overview!$D$32,0)</f>
        <v>0</v>
      </c>
      <c r="F32" s="405" t="s">
        <v>140</v>
      </c>
      <c r="G32" s="402" t="s">
        <v>140</v>
      </c>
      <c r="H32" s="406" t="s">
        <v>140</v>
      </c>
    </row>
    <row r="33" spans="2:8" x14ac:dyDescent="0.3">
      <c r="B33" s="396" t="s">
        <v>130</v>
      </c>
      <c r="C33" s="317"/>
      <c r="D33" s="408">
        <v>0</v>
      </c>
      <c r="E33" s="411">
        <f>IFERROR(D33/Overview!$D$32,0)</f>
        <v>0</v>
      </c>
      <c r="F33" s="405" t="s">
        <v>140</v>
      </c>
      <c r="G33" s="402" t="s">
        <v>140</v>
      </c>
      <c r="H33" s="406" t="s">
        <v>140</v>
      </c>
    </row>
    <row r="34" spans="2:8" x14ac:dyDescent="0.3">
      <c r="B34" s="396" t="s">
        <v>130</v>
      </c>
      <c r="C34" s="317"/>
      <c r="D34" s="408">
        <v>0</v>
      </c>
      <c r="E34" s="411">
        <f>IFERROR(D34/Overview!$D$32,0)</f>
        <v>0</v>
      </c>
      <c r="F34" s="405" t="s">
        <v>140</v>
      </c>
      <c r="G34" s="402" t="s">
        <v>140</v>
      </c>
      <c r="H34" s="406" t="s">
        <v>140</v>
      </c>
    </row>
    <row r="35" spans="2:8" x14ac:dyDescent="0.3">
      <c r="B35" s="396" t="s">
        <v>130</v>
      </c>
      <c r="C35" s="317"/>
      <c r="D35" s="408">
        <v>0</v>
      </c>
      <c r="E35" s="411">
        <f>IFERROR(D35/Overview!$D$32,0)</f>
        <v>0</v>
      </c>
      <c r="F35" s="405" t="s">
        <v>140</v>
      </c>
      <c r="G35" s="402" t="s">
        <v>140</v>
      </c>
      <c r="H35" s="406" t="s">
        <v>140</v>
      </c>
    </row>
    <row r="36" spans="2:8" x14ac:dyDescent="0.3">
      <c r="B36" s="396" t="s">
        <v>130</v>
      </c>
      <c r="C36" s="317"/>
      <c r="D36" s="408">
        <v>0</v>
      </c>
      <c r="E36" s="411">
        <f>IFERROR(D36/Overview!$D$32,0)</f>
        <v>0</v>
      </c>
      <c r="F36" s="405" t="s">
        <v>140</v>
      </c>
      <c r="G36" s="402" t="s">
        <v>140</v>
      </c>
      <c r="H36" s="406" t="s">
        <v>140</v>
      </c>
    </row>
    <row r="37" spans="2:8" x14ac:dyDescent="0.3">
      <c r="B37" s="396" t="s">
        <v>130</v>
      </c>
      <c r="C37" s="317"/>
      <c r="D37" s="408">
        <v>0</v>
      </c>
      <c r="E37" s="411">
        <f>IFERROR(D37/Overview!$D$32,0)</f>
        <v>0</v>
      </c>
      <c r="F37" s="405" t="s">
        <v>140</v>
      </c>
      <c r="G37" s="402" t="s">
        <v>140</v>
      </c>
      <c r="H37" s="406" t="s">
        <v>140</v>
      </c>
    </row>
    <row r="38" spans="2:8" x14ac:dyDescent="0.3">
      <c r="B38" s="396" t="s">
        <v>130</v>
      </c>
      <c r="C38" s="317"/>
      <c r="D38" s="408">
        <v>0</v>
      </c>
      <c r="E38" s="411">
        <f>IFERROR(D38/Overview!$D$32,0)</f>
        <v>0</v>
      </c>
      <c r="F38" s="405" t="s">
        <v>140</v>
      </c>
      <c r="G38" s="402" t="s">
        <v>140</v>
      </c>
      <c r="H38" s="406" t="s">
        <v>140</v>
      </c>
    </row>
    <row r="39" spans="2:8" x14ac:dyDescent="0.3">
      <c r="B39" s="396" t="s">
        <v>130</v>
      </c>
      <c r="C39" s="317"/>
      <c r="D39" s="408">
        <v>0</v>
      </c>
      <c r="E39" s="411">
        <f>IFERROR(D39/Overview!$D$32,0)</f>
        <v>0</v>
      </c>
      <c r="F39" s="405" t="s">
        <v>140</v>
      </c>
      <c r="G39" s="402" t="s">
        <v>140</v>
      </c>
      <c r="H39" s="406" t="s">
        <v>140</v>
      </c>
    </row>
    <row r="40" spans="2:8" x14ac:dyDescent="0.3">
      <c r="B40" s="50"/>
      <c r="C40" s="401"/>
      <c r="D40" s="409">
        <f>SUM(D15:D39)</f>
        <v>0</v>
      </c>
      <c r="E40" s="412">
        <f>SUM(E15:E39)</f>
        <v>0</v>
      </c>
      <c r="F40" s="290"/>
      <c r="G40" s="289"/>
      <c r="H40" s="397"/>
    </row>
    <row r="41" spans="2:8" x14ac:dyDescent="0.3">
      <c r="B41" s="34"/>
      <c r="C41" s="39"/>
      <c r="D41" s="39"/>
      <c r="E41" s="46" t="b">
        <f>IF(E40&gt;5000,TRUE,FALSE)</f>
        <v>0</v>
      </c>
      <c r="F41" s="286"/>
      <c r="G41" s="366"/>
      <c r="H41" s="398"/>
    </row>
  </sheetData>
  <sheetProtection algorithmName="SHA-512" hashValue="kTMMxEUxwgdgxyZjJClG0Ufk1Tj0ZfA3d6KBbcPx3lzTfWgaDudvbwP6KbkFL1KYkBl1bJz7/A/Y6chMZLYNKw==" saltValue="DpACxaeXVEwZYJYQaCikWg==" spinCount="100000" sheet="1"/>
  <protectedRanges>
    <protectedRange sqref="B15:D39 F15:H39" name="Investment Summary"/>
  </protectedRanges>
  <mergeCells count="1">
    <mergeCell ref="B4:F8"/>
  </mergeCells>
  <conditionalFormatting sqref="H15:H39">
    <cfRule type="expression" dxfId="0" priority="1">
      <formula>AND(H15&gt;1,G15="Y")</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zoomScale="130" zoomScaleNormal="130" workbookViewId="0"/>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141</v>
      </c>
    </row>
    <row r="3" spans="2:17" s="5" customFormat="1" ht="15" customHeight="1" x14ac:dyDescent="0.3"/>
    <row r="4" spans="2:17" s="5" customFormat="1" ht="15" customHeight="1" x14ac:dyDescent="0.3">
      <c r="B4" s="482" t="s">
        <v>142</v>
      </c>
      <c r="C4" s="483"/>
      <c r="D4" s="483"/>
      <c r="E4" s="483"/>
      <c r="F4" s="483"/>
      <c r="G4" s="483"/>
      <c r="H4" s="483"/>
      <c r="I4" s="483"/>
      <c r="J4" s="483"/>
      <c r="K4" s="483"/>
      <c r="L4" s="483"/>
      <c r="M4" s="483"/>
      <c r="N4" s="483"/>
      <c r="O4" s="483"/>
      <c r="P4" s="484"/>
    </row>
    <row r="5" spans="2:17" s="5" customFormat="1" ht="15" customHeight="1" x14ac:dyDescent="0.3">
      <c r="B5" s="485"/>
      <c r="C5" s="461"/>
      <c r="D5" s="461"/>
      <c r="E5" s="461"/>
      <c r="F5" s="461"/>
      <c r="G5" s="461"/>
      <c r="H5" s="461"/>
      <c r="I5" s="461"/>
      <c r="J5" s="461"/>
      <c r="K5" s="461"/>
      <c r="L5" s="461"/>
      <c r="M5" s="461"/>
      <c r="N5" s="461"/>
      <c r="O5" s="461"/>
      <c r="P5" s="486"/>
    </row>
    <row r="6" spans="2:17" s="5" customFormat="1" ht="15" customHeight="1" x14ac:dyDescent="0.3">
      <c r="B6" s="485"/>
      <c r="C6" s="461"/>
      <c r="D6" s="461"/>
      <c r="E6" s="461"/>
      <c r="F6" s="461"/>
      <c r="G6" s="461"/>
      <c r="H6" s="461"/>
      <c r="I6" s="461"/>
      <c r="J6" s="461"/>
      <c r="K6" s="461"/>
      <c r="L6" s="461"/>
      <c r="M6" s="461"/>
      <c r="N6" s="461"/>
      <c r="O6" s="461"/>
      <c r="P6" s="486"/>
    </row>
    <row r="7" spans="2:17" s="5" customFormat="1" ht="15" customHeight="1" x14ac:dyDescent="0.3">
      <c r="B7" s="485"/>
      <c r="C7" s="461"/>
      <c r="D7" s="461"/>
      <c r="E7" s="461"/>
      <c r="F7" s="461"/>
      <c r="G7" s="461"/>
      <c r="H7" s="461"/>
      <c r="I7" s="461"/>
      <c r="J7" s="461"/>
      <c r="K7" s="461"/>
      <c r="L7" s="461"/>
      <c r="M7" s="461"/>
      <c r="N7" s="461"/>
      <c r="O7" s="461"/>
      <c r="P7" s="486"/>
    </row>
    <row r="8" spans="2:17" s="5" customFormat="1" ht="15" customHeight="1" x14ac:dyDescent="0.3">
      <c r="B8" s="485"/>
      <c r="C8" s="461"/>
      <c r="D8" s="461"/>
      <c r="E8" s="461"/>
      <c r="F8" s="461"/>
      <c r="G8" s="461"/>
      <c r="H8" s="461"/>
      <c r="I8" s="461"/>
      <c r="J8" s="461"/>
      <c r="K8" s="461"/>
      <c r="L8" s="461"/>
      <c r="M8" s="461"/>
      <c r="N8" s="461"/>
      <c r="O8" s="461"/>
      <c r="P8" s="486"/>
    </row>
    <row r="9" spans="2:17" s="5" customFormat="1" ht="15" customHeight="1" x14ac:dyDescent="0.3">
      <c r="B9" s="485"/>
      <c r="C9" s="461"/>
      <c r="D9" s="461"/>
      <c r="E9" s="461"/>
      <c r="F9" s="461"/>
      <c r="G9" s="461"/>
      <c r="H9" s="461"/>
      <c r="I9" s="461"/>
      <c r="J9" s="461"/>
      <c r="K9" s="461"/>
      <c r="L9" s="461"/>
      <c r="M9" s="461"/>
      <c r="N9" s="461"/>
      <c r="O9" s="461"/>
      <c r="P9" s="486"/>
    </row>
    <row r="10" spans="2:17" s="5" customFormat="1" ht="15" customHeight="1" x14ac:dyDescent="0.3">
      <c r="B10" s="487"/>
      <c r="C10" s="488"/>
      <c r="D10" s="488"/>
      <c r="E10" s="488"/>
      <c r="F10" s="488"/>
      <c r="G10" s="488"/>
      <c r="H10" s="488"/>
      <c r="I10" s="488"/>
      <c r="J10" s="488"/>
      <c r="K10" s="488"/>
      <c r="L10" s="488"/>
      <c r="M10" s="488"/>
      <c r="N10" s="488"/>
      <c r="O10" s="488"/>
      <c r="P10" s="489"/>
    </row>
    <row r="11" spans="2:17" s="5" customFormat="1" ht="15" customHeight="1" x14ac:dyDescent="0.3">
      <c r="B11" s="69"/>
    </row>
    <row r="12" spans="2:17" s="5" customFormat="1" ht="15" customHeight="1" x14ac:dyDescent="0.3">
      <c r="B12" s="70" t="s">
        <v>3</v>
      </c>
      <c r="C12" s="221" t="s">
        <v>4</v>
      </c>
      <c r="D12" s="71" t="s">
        <v>5</v>
      </c>
      <c r="E12" s="72" t="s">
        <v>6</v>
      </c>
    </row>
    <row r="15" spans="2:17" x14ac:dyDescent="0.3">
      <c r="B15" s="41" t="s">
        <v>143</v>
      </c>
      <c r="C15" s="42"/>
      <c r="D15" s="42"/>
      <c r="E15" s="42"/>
      <c r="F15" s="42"/>
      <c r="G15" s="42"/>
      <c r="H15" s="42"/>
      <c r="I15" s="43"/>
      <c r="J15" s="5"/>
      <c r="K15" s="41" t="s">
        <v>27</v>
      </c>
      <c r="L15" s="42"/>
      <c r="M15" s="42"/>
      <c r="N15" s="42"/>
      <c r="O15" s="42"/>
      <c r="P15" s="43"/>
      <c r="Q15" s="5"/>
    </row>
    <row r="16" spans="2:17" x14ac:dyDescent="0.3">
      <c r="B16" s="515" t="s">
        <v>29</v>
      </c>
      <c r="C16" s="515"/>
      <c r="D16" s="515"/>
      <c r="E16" s="515"/>
      <c r="F16" s="442" t="s">
        <v>31</v>
      </c>
      <c r="G16" s="442" t="s">
        <v>32</v>
      </c>
      <c r="H16" s="442" t="s">
        <v>144</v>
      </c>
      <c r="I16" s="442" t="s">
        <v>33</v>
      </c>
      <c r="J16" s="5"/>
      <c r="K16" s="480" t="s">
        <v>29</v>
      </c>
      <c r="L16" s="516"/>
      <c r="M16" s="442" t="s">
        <v>31</v>
      </c>
      <c r="N16" s="442" t="s">
        <v>32</v>
      </c>
      <c r="O16" s="442" t="s">
        <v>144</v>
      </c>
      <c r="P16" s="442" t="s">
        <v>33</v>
      </c>
      <c r="Q16" s="5"/>
    </row>
    <row r="17" spans="2:17" x14ac:dyDescent="0.3">
      <c r="B17" s="54" t="s">
        <v>77</v>
      </c>
      <c r="C17" s="55"/>
      <c r="D17" s="55"/>
      <c r="E17" s="56"/>
      <c r="F17" s="128"/>
      <c r="G17" s="128"/>
      <c r="H17" s="133"/>
      <c r="I17" s="134"/>
      <c r="J17" s="5"/>
      <c r="K17" s="151" t="s">
        <v>145</v>
      </c>
      <c r="L17" s="152"/>
      <c r="M17" s="158"/>
      <c r="N17" s="158"/>
      <c r="O17" s="133"/>
      <c r="P17" s="161"/>
      <c r="Q17" s="5"/>
    </row>
    <row r="18" spans="2:17" x14ac:dyDescent="0.3">
      <c r="B18" s="33" t="s">
        <v>146</v>
      </c>
      <c r="C18" s="5"/>
      <c r="D18" s="5"/>
      <c r="E18" s="37"/>
      <c r="F18" s="229">
        <v>0</v>
      </c>
      <c r="G18" s="88">
        <f>IFERROR($F18/Overview!$D$32,0)</f>
        <v>0</v>
      </c>
      <c r="H18" s="107">
        <f>IFERROR($F18/Overview!$D$31,0)</f>
        <v>0</v>
      </c>
      <c r="I18" s="135">
        <f>IFERROR($F18/$F$118,0)</f>
        <v>0</v>
      </c>
      <c r="J18" s="5"/>
      <c r="K18" s="211" t="s">
        <v>147</v>
      </c>
      <c r="L18" s="316"/>
      <c r="M18" s="229">
        <v>0</v>
      </c>
      <c r="N18" s="88">
        <f>IFERROR($M18/Overview!$D$32,0)</f>
        <v>0</v>
      </c>
      <c r="O18" s="107">
        <f>IFERROR($M18/Overview!$D$31,0)</f>
        <v>0</v>
      </c>
      <c r="P18" s="135">
        <f>IFERROR($M18/$M$59,0)</f>
        <v>0</v>
      </c>
      <c r="Q18" s="5"/>
    </row>
    <row r="19" spans="2:17" x14ac:dyDescent="0.3">
      <c r="B19" s="33" t="s">
        <v>148</v>
      </c>
      <c r="C19" s="5"/>
      <c r="D19" s="5"/>
      <c r="E19" s="37"/>
      <c r="F19" s="229">
        <v>0</v>
      </c>
      <c r="G19" s="88">
        <f>IFERROR($F19/Overview!$D$32,0)</f>
        <v>0</v>
      </c>
      <c r="H19" s="107">
        <f>IFERROR($F19/Overview!$D$31,0)</f>
        <v>0</v>
      </c>
      <c r="I19" s="135">
        <f>IFERROR($F19/$F$118,0)</f>
        <v>0</v>
      </c>
      <c r="J19" s="5"/>
      <c r="K19" s="211" t="s">
        <v>149</v>
      </c>
      <c r="L19" s="317"/>
      <c r="M19" s="229">
        <v>0</v>
      </c>
      <c r="N19" s="88">
        <f>IFERROR($M19/Overview!$D$32,0)</f>
        <v>0</v>
      </c>
      <c r="O19" s="107">
        <f>IFERROR($M19/Overview!$D$31,0)</f>
        <v>0</v>
      </c>
      <c r="P19" s="135">
        <f t="shared" ref="P19:P35" si="0">IFERROR($M19/$M$59,0)</f>
        <v>0</v>
      </c>
      <c r="Q19" s="5"/>
    </row>
    <row r="20" spans="2:17" x14ac:dyDescent="0.3">
      <c r="B20" s="211" t="s">
        <v>150</v>
      </c>
      <c r="C20" s="234"/>
      <c r="D20" s="234"/>
      <c r="E20" s="212"/>
      <c r="F20" s="229">
        <v>0</v>
      </c>
      <c r="G20" s="88">
        <f>IFERROR($F20/Overview!$D$32,0)</f>
        <v>0</v>
      </c>
      <c r="H20" s="107">
        <f>IFERROR($F20/Overview!$D$31,0)</f>
        <v>0</v>
      </c>
      <c r="I20" s="135">
        <f>IFERROR($F20/$F$118,0)</f>
        <v>0</v>
      </c>
      <c r="J20" s="5"/>
      <c r="K20" s="211" t="s">
        <v>151</v>
      </c>
      <c r="L20" s="317"/>
      <c r="M20" s="229">
        <v>0</v>
      </c>
      <c r="N20" s="88">
        <f>IFERROR($M20/Overview!$D$32,0)</f>
        <v>0</v>
      </c>
      <c r="O20" s="107">
        <f>IFERROR($M20/Overview!$D$31,0)</f>
        <v>0</v>
      </c>
      <c r="P20" s="135">
        <f t="shared" si="0"/>
        <v>0</v>
      </c>
      <c r="Q20" s="5"/>
    </row>
    <row r="21" spans="2:17" x14ac:dyDescent="0.3">
      <c r="B21" s="59" t="s">
        <v>152</v>
      </c>
      <c r="C21" s="60"/>
      <c r="D21" s="60"/>
      <c r="E21" s="61"/>
      <c r="F21" s="129">
        <f>SUM(F18:F20)</f>
        <v>0</v>
      </c>
      <c r="G21" s="129">
        <f>IFERROR($F21/Overview!$D$32,0)</f>
        <v>0</v>
      </c>
      <c r="H21" s="124">
        <f>IFERROR($F21/Overview!$D$31,0)</f>
        <v>0</v>
      </c>
      <c r="I21" s="136">
        <f>IFERROR($F21/$F$118,0)</f>
        <v>0</v>
      </c>
      <c r="J21" s="5"/>
      <c r="K21" s="211" t="s">
        <v>153</v>
      </c>
      <c r="L21" s="317"/>
      <c r="M21" s="229">
        <v>0</v>
      </c>
      <c r="N21" s="88">
        <f>IFERROR($M21/Overview!$D$32,0)</f>
        <v>0</v>
      </c>
      <c r="O21" s="107">
        <f>IFERROR($M21/Overview!$D$31,0)</f>
        <v>0</v>
      </c>
      <c r="P21" s="135">
        <f t="shared" si="0"/>
        <v>0</v>
      </c>
      <c r="Q21" s="5"/>
    </row>
    <row r="22" spans="2:17" x14ac:dyDescent="0.3">
      <c r="B22" s="33"/>
      <c r="C22" s="5"/>
      <c r="D22" s="5"/>
      <c r="E22" s="37"/>
      <c r="F22" s="88"/>
      <c r="G22" s="88"/>
      <c r="H22" s="107"/>
      <c r="I22" s="135"/>
      <c r="J22" s="5"/>
      <c r="K22" s="211" t="s">
        <v>154</v>
      </c>
      <c r="L22" s="317"/>
      <c r="M22" s="229">
        <v>0</v>
      </c>
      <c r="N22" s="88">
        <f>IFERROR($M22/Overview!$D$32,0)</f>
        <v>0</v>
      </c>
      <c r="O22" s="107">
        <f>IFERROR($M22/Overview!$D$31,0)</f>
        <v>0</v>
      </c>
      <c r="P22" s="135">
        <f t="shared" si="0"/>
        <v>0</v>
      </c>
      <c r="Q22" s="5"/>
    </row>
    <row r="23" spans="2:17" x14ac:dyDescent="0.3">
      <c r="B23" s="54" t="s">
        <v>78</v>
      </c>
      <c r="C23" s="55"/>
      <c r="D23" s="55"/>
      <c r="E23" s="56"/>
      <c r="F23" s="128"/>
      <c r="G23" s="128"/>
      <c r="H23" s="123"/>
      <c r="I23" s="137"/>
      <c r="J23" s="5"/>
      <c r="K23" s="211" t="s">
        <v>155</v>
      </c>
      <c r="L23" s="317"/>
      <c r="M23" s="229">
        <v>0</v>
      </c>
      <c r="N23" s="88">
        <f>IFERROR($M23/Overview!$D$32,0)</f>
        <v>0</v>
      </c>
      <c r="O23" s="107">
        <f>IFERROR($M23/Overview!$D$31,0)</f>
        <v>0</v>
      </c>
      <c r="P23" s="135">
        <f t="shared" si="0"/>
        <v>0</v>
      </c>
      <c r="Q23" s="5"/>
    </row>
    <row r="24" spans="2:17" x14ac:dyDescent="0.3">
      <c r="B24" s="63" t="s">
        <v>156</v>
      </c>
      <c r="C24" s="5"/>
      <c r="D24" s="5"/>
      <c r="E24" s="37"/>
      <c r="F24" s="142"/>
      <c r="G24" s="88"/>
      <c r="H24" s="107"/>
      <c r="I24" s="135"/>
      <c r="J24" s="5"/>
      <c r="K24" s="211" t="s">
        <v>157</v>
      </c>
      <c r="L24" s="317"/>
      <c r="M24" s="229">
        <v>0</v>
      </c>
      <c r="N24" s="88">
        <f>IFERROR($M24/Overview!$D$32,0)</f>
        <v>0</v>
      </c>
      <c r="O24" s="107">
        <f>IFERROR($M24/Overview!$D$31,0)</f>
        <v>0</v>
      </c>
      <c r="P24" s="135">
        <f t="shared" si="0"/>
        <v>0</v>
      </c>
      <c r="Q24" s="5"/>
    </row>
    <row r="25" spans="2:17" x14ac:dyDescent="0.3">
      <c r="B25" s="45" t="s">
        <v>158</v>
      </c>
      <c r="C25" s="5"/>
      <c r="D25" s="5"/>
      <c r="E25" s="37"/>
      <c r="F25" s="229">
        <v>0</v>
      </c>
      <c r="G25" s="88">
        <f>IFERROR($F25/Overview!$D$32,0)</f>
        <v>0</v>
      </c>
      <c r="H25" s="107">
        <f>IFERROR($F25/Overview!$D$31,0)</f>
        <v>0</v>
      </c>
      <c r="I25" s="135">
        <f t="shared" ref="I25:I32" si="1">IFERROR($F25/$F$118,0)</f>
        <v>0</v>
      </c>
      <c r="J25" s="5"/>
      <c r="K25" s="33" t="s">
        <v>159</v>
      </c>
      <c r="L25" s="318"/>
      <c r="M25" s="229">
        <v>0</v>
      </c>
      <c r="N25" s="88">
        <f>IFERROR($M25/Overview!$D$32,0)</f>
        <v>0</v>
      </c>
      <c r="O25" s="107">
        <f>IFERROR($M25/Overview!$D$31,0)</f>
        <v>0</v>
      </c>
      <c r="P25" s="135">
        <f t="shared" si="0"/>
        <v>0</v>
      </c>
      <c r="Q25" s="5"/>
    </row>
    <row r="26" spans="2:17" x14ac:dyDescent="0.3">
      <c r="B26" s="45" t="s">
        <v>160</v>
      </c>
      <c r="C26" s="5"/>
      <c r="D26" s="5"/>
      <c r="E26" s="37"/>
      <c r="F26" s="229">
        <v>0</v>
      </c>
      <c r="G26" s="88">
        <f>IFERROR($F26/Overview!$D$32,0)</f>
        <v>0</v>
      </c>
      <c r="H26" s="107">
        <f>IFERROR($F26/Overview!$D$31,0)</f>
        <v>0</v>
      </c>
      <c r="I26" s="135">
        <f t="shared" si="1"/>
        <v>0</v>
      </c>
      <c r="J26" s="5"/>
      <c r="K26" s="33" t="s">
        <v>161</v>
      </c>
      <c r="L26" s="318"/>
      <c r="M26" s="229">
        <v>0</v>
      </c>
      <c r="N26" s="88">
        <f>IFERROR($M26/Overview!$D$32,0)</f>
        <v>0</v>
      </c>
      <c r="O26" s="107">
        <f>IFERROR($M26/Overview!$D$31,0)</f>
        <v>0</v>
      </c>
      <c r="P26" s="135">
        <f t="shared" si="0"/>
        <v>0</v>
      </c>
      <c r="Q26" s="5"/>
    </row>
    <row r="27" spans="2:17" x14ac:dyDescent="0.3">
      <c r="B27" s="45" t="s">
        <v>162</v>
      </c>
      <c r="C27" s="5"/>
      <c r="D27" s="5"/>
      <c r="E27" s="37"/>
      <c r="F27" s="229">
        <v>0</v>
      </c>
      <c r="G27" s="88">
        <f>IFERROR($F27/Overview!$D$32,0)</f>
        <v>0</v>
      </c>
      <c r="H27" s="107">
        <f>IFERROR($F27/Overview!$D$31,0)</f>
        <v>0</v>
      </c>
      <c r="I27" s="135">
        <f t="shared" si="1"/>
        <v>0</v>
      </c>
      <c r="J27" s="5"/>
      <c r="K27" s="33" t="s">
        <v>163</v>
      </c>
      <c r="L27" s="318"/>
      <c r="M27" s="229">
        <v>0</v>
      </c>
      <c r="N27" s="88">
        <f>IFERROR($M27/Overview!$D$32,0)</f>
        <v>0</v>
      </c>
      <c r="O27" s="107">
        <f>IFERROR($M27/Overview!$D$31,0)</f>
        <v>0</v>
      </c>
      <c r="P27" s="135">
        <f t="shared" si="0"/>
        <v>0</v>
      </c>
      <c r="Q27" s="5"/>
    </row>
    <row r="28" spans="2:17" x14ac:dyDescent="0.3">
      <c r="B28" s="45" t="s">
        <v>164</v>
      </c>
      <c r="C28" s="5"/>
      <c r="D28" s="5"/>
      <c r="E28" s="37"/>
      <c r="F28" s="229">
        <v>0</v>
      </c>
      <c r="G28" s="88">
        <f>IFERROR($F28/Overview!$D$32,0)</f>
        <v>0</v>
      </c>
      <c r="H28" s="107">
        <f>IFERROR($F28/Overview!$D$31,0)</f>
        <v>0</v>
      </c>
      <c r="I28" s="135">
        <f t="shared" si="1"/>
        <v>0</v>
      </c>
      <c r="J28" s="5"/>
      <c r="K28" s="33" t="s">
        <v>165</v>
      </c>
      <c r="L28" s="318"/>
      <c r="M28" s="229">
        <v>0</v>
      </c>
      <c r="N28" s="88">
        <f>IFERROR($M28/Overview!$D$32,0)</f>
        <v>0</v>
      </c>
      <c r="O28" s="107">
        <f>IFERROR($M28/Overview!$D$31,0)</f>
        <v>0</v>
      </c>
      <c r="P28" s="135">
        <f t="shared" si="0"/>
        <v>0</v>
      </c>
      <c r="Q28" s="5"/>
    </row>
    <row r="29" spans="2:17" x14ac:dyDescent="0.3">
      <c r="B29" s="45" t="s">
        <v>166</v>
      </c>
      <c r="C29" s="5"/>
      <c r="D29" s="5"/>
      <c r="E29" s="37"/>
      <c r="F29" s="229">
        <v>0</v>
      </c>
      <c r="G29" s="88">
        <f>IFERROR($F29/Overview!$D$32,0)</f>
        <v>0</v>
      </c>
      <c r="H29" s="107">
        <f>IFERROR($F29/Overview!$D$31,0)</f>
        <v>0</v>
      </c>
      <c r="I29" s="135">
        <f t="shared" si="1"/>
        <v>0</v>
      </c>
      <c r="J29" s="5"/>
      <c r="K29" s="33" t="s">
        <v>52</v>
      </c>
      <c r="L29" s="318"/>
      <c r="M29" s="229">
        <v>0</v>
      </c>
      <c r="N29" s="88">
        <f>IFERROR($M29/Overview!$D$32,0)</f>
        <v>0</v>
      </c>
      <c r="O29" s="107">
        <f>IFERROR($M29/Overview!$D$31,0)</f>
        <v>0</v>
      </c>
      <c r="P29" s="135">
        <f t="shared" si="0"/>
        <v>0</v>
      </c>
      <c r="Q29" s="5"/>
    </row>
    <row r="30" spans="2:17" x14ac:dyDescent="0.3">
      <c r="B30" s="45" t="s">
        <v>167</v>
      </c>
      <c r="C30" s="5"/>
      <c r="D30" s="5"/>
      <c r="E30" s="37"/>
      <c r="F30" s="229">
        <v>0</v>
      </c>
      <c r="G30" s="88">
        <f>IFERROR($F30/Overview!$D$32,0)</f>
        <v>0</v>
      </c>
      <c r="H30" s="107">
        <f>IFERROR($F30/Overview!$D$31,0)</f>
        <v>0</v>
      </c>
      <c r="I30" s="135">
        <f t="shared" si="1"/>
        <v>0</v>
      </c>
      <c r="J30" s="5"/>
      <c r="K30" s="33" t="s">
        <v>168</v>
      </c>
      <c r="L30" s="318"/>
      <c r="M30" s="229">
        <v>0</v>
      </c>
      <c r="N30" s="88">
        <f>IFERROR($M30/Overview!$D$32,0)</f>
        <v>0</v>
      </c>
      <c r="O30" s="107">
        <f>IFERROR($M30/Overview!$D$31,0)</f>
        <v>0</v>
      </c>
      <c r="P30" s="135">
        <f t="shared" si="0"/>
        <v>0</v>
      </c>
      <c r="Q30" s="5"/>
    </row>
    <row r="31" spans="2:17" x14ac:dyDescent="0.3">
      <c r="B31" s="233" t="s">
        <v>169</v>
      </c>
      <c r="C31" s="234"/>
      <c r="D31" s="234"/>
      <c r="E31" s="212"/>
      <c r="F31" s="229">
        <v>0</v>
      </c>
      <c r="G31" s="88">
        <f>IFERROR($F31/Overview!$D$32,0)</f>
        <v>0</v>
      </c>
      <c r="H31" s="107">
        <f>IFERROR($F31/Overview!$D$31,0)</f>
        <v>0</v>
      </c>
      <c r="I31" s="135">
        <f t="shared" si="1"/>
        <v>0</v>
      </c>
      <c r="J31" s="5"/>
      <c r="K31" s="33" t="s">
        <v>170</v>
      </c>
      <c r="L31" s="318"/>
      <c r="M31" s="229">
        <v>0</v>
      </c>
      <c r="N31" s="88">
        <f>IFERROR($M31/Overview!$D$32,0)</f>
        <v>0</v>
      </c>
      <c r="O31" s="107">
        <f>IFERROR($M31/Overview!$D$31,0)</f>
        <v>0</v>
      </c>
      <c r="P31" s="135">
        <f t="shared" si="0"/>
        <v>0</v>
      </c>
      <c r="Q31" s="5"/>
    </row>
    <row r="32" spans="2:17" x14ac:dyDescent="0.3">
      <c r="B32" s="62" t="s">
        <v>171</v>
      </c>
      <c r="C32" s="53"/>
      <c r="D32" s="53"/>
      <c r="E32" s="51"/>
      <c r="F32" s="94">
        <f>SUM(F24:F31)</f>
        <v>0</v>
      </c>
      <c r="G32" s="94">
        <f>IFERROR($F32/Overview!$D$32,0)</f>
        <v>0</v>
      </c>
      <c r="H32" s="93">
        <f>IFERROR($F32/Overview!$D$31,0)</f>
        <v>0</v>
      </c>
      <c r="I32" s="138">
        <f t="shared" si="1"/>
        <v>0</v>
      </c>
      <c r="J32" s="5"/>
      <c r="K32" s="33" t="s">
        <v>172</v>
      </c>
      <c r="L32" s="318"/>
      <c r="M32" s="143">
        <f>$M$59-SUM($M$18:$M$31,$M$33:$M$34)</f>
        <v>0</v>
      </c>
      <c r="N32" s="88">
        <f>IFERROR($M32/Overview!$D$32,0)</f>
        <v>0</v>
      </c>
      <c r="O32" s="107">
        <f>IFERROR($M32/Overview!$D$31,0)</f>
        <v>0</v>
      </c>
      <c r="P32" s="135">
        <f t="shared" si="0"/>
        <v>0</v>
      </c>
      <c r="Q32" s="5"/>
    </row>
    <row r="33" spans="2:17" x14ac:dyDescent="0.3">
      <c r="B33" s="33"/>
      <c r="C33" s="5"/>
      <c r="D33" s="5"/>
      <c r="E33" s="37"/>
      <c r="F33" s="88"/>
      <c r="G33" s="88"/>
      <c r="H33" s="107"/>
      <c r="I33" s="135"/>
      <c r="J33" s="5"/>
      <c r="K33" s="211" t="s">
        <v>173</v>
      </c>
      <c r="L33" s="317"/>
      <c r="M33" s="229">
        <v>0</v>
      </c>
      <c r="N33" s="88">
        <f>IFERROR($M33/Overview!$D$32,0)</f>
        <v>0</v>
      </c>
      <c r="O33" s="107">
        <f>IFERROR($M33/Overview!$D$31,0)</f>
        <v>0</v>
      </c>
      <c r="P33" s="135">
        <f t="shared" si="0"/>
        <v>0</v>
      </c>
      <c r="Q33" s="5"/>
    </row>
    <row r="34" spans="2:17" x14ac:dyDescent="0.3">
      <c r="B34" s="63" t="s">
        <v>174</v>
      </c>
      <c r="C34" s="5"/>
      <c r="D34" s="5"/>
      <c r="E34" s="37"/>
      <c r="F34" s="88"/>
      <c r="G34" s="88"/>
      <c r="H34" s="107"/>
      <c r="I34" s="135"/>
      <c r="J34" s="5"/>
      <c r="K34" s="211" t="s">
        <v>173</v>
      </c>
      <c r="L34" s="317"/>
      <c r="M34" s="229">
        <v>0</v>
      </c>
      <c r="N34" s="88">
        <f>IFERROR($M34/Overview!$D$32,0)</f>
        <v>0</v>
      </c>
      <c r="O34" s="107">
        <f>IFERROR($M34/Overview!$D$31,0)</f>
        <v>0</v>
      </c>
      <c r="P34" s="135">
        <f t="shared" si="0"/>
        <v>0</v>
      </c>
      <c r="Q34" s="5"/>
    </row>
    <row r="35" spans="2:17" x14ac:dyDescent="0.3">
      <c r="B35" s="45" t="s">
        <v>175</v>
      </c>
      <c r="C35" s="5"/>
      <c r="D35" s="5"/>
      <c r="E35" s="231">
        <v>0</v>
      </c>
      <c r="F35" s="143">
        <f>$E35*SUM(F$32:F34)</f>
        <v>0</v>
      </c>
      <c r="G35" s="88">
        <f>IFERROR($F35/Overview!$D$32,0)</f>
        <v>0</v>
      </c>
      <c r="H35" s="107">
        <f>IFERROR($F35/Overview!$D$31,0)</f>
        <v>0</v>
      </c>
      <c r="I35" s="135">
        <f t="shared" ref="I35:I44" si="2">IFERROR($F35/$F$118,0)</f>
        <v>0</v>
      </c>
      <c r="J35" s="5"/>
      <c r="K35" s="50" t="s">
        <v>176</v>
      </c>
      <c r="L35" s="51"/>
      <c r="M35" s="94">
        <f>SUM(M18:M34)</f>
        <v>0</v>
      </c>
      <c r="N35" s="94">
        <f>IFERROR($M35/Overview!$D$32,0)</f>
        <v>0</v>
      </c>
      <c r="O35" s="93">
        <f>IFERROR($M35/Overview!$D$31,0)</f>
        <v>0</v>
      </c>
      <c r="P35" s="138">
        <f t="shared" si="0"/>
        <v>0</v>
      </c>
      <c r="Q35" s="5"/>
    </row>
    <row r="36" spans="2:17" x14ac:dyDescent="0.3">
      <c r="B36" s="45" t="s">
        <v>177</v>
      </c>
      <c r="C36" s="5"/>
      <c r="D36" s="5"/>
      <c r="E36" s="231">
        <v>0</v>
      </c>
      <c r="F36" s="143">
        <f>$E36*SUM(F$32:F35)</f>
        <v>0</v>
      </c>
      <c r="G36" s="88">
        <f>IFERROR($F36/Overview!$D$32,0)</f>
        <v>0</v>
      </c>
      <c r="H36" s="107">
        <f>IFERROR($F36/Overview!$D$31,0)</f>
        <v>0</v>
      </c>
      <c r="I36" s="135">
        <f t="shared" si="2"/>
        <v>0</v>
      </c>
      <c r="J36" s="5"/>
      <c r="K36" s="119"/>
      <c r="L36" s="37"/>
      <c r="M36" s="88" t="b">
        <f>M35=$M$59</f>
        <v>1</v>
      </c>
      <c r="N36" s="88"/>
      <c r="O36" s="107"/>
      <c r="P36" s="135"/>
      <c r="Q36" s="5"/>
    </row>
    <row r="37" spans="2:17" x14ac:dyDescent="0.3">
      <c r="B37" s="45" t="s">
        <v>178</v>
      </c>
      <c r="C37" s="5"/>
      <c r="D37" s="5"/>
      <c r="E37" s="231">
        <v>0</v>
      </c>
      <c r="F37" s="143">
        <f>$E37*SUM(F$32:F36)</f>
        <v>0</v>
      </c>
      <c r="G37" s="88">
        <f>IFERROR($F37/Overview!$D$32,0)</f>
        <v>0</v>
      </c>
      <c r="H37" s="107">
        <f>IFERROR($F37/Overview!$D$31,0)</f>
        <v>0</v>
      </c>
      <c r="I37" s="135">
        <f t="shared" si="2"/>
        <v>0</v>
      </c>
      <c r="J37" s="5"/>
      <c r="K37" s="54" t="s">
        <v>62</v>
      </c>
      <c r="L37" s="56"/>
      <c r="M37" s="128"/>
      <c r="N37" s="128"/>
      <c r="O37" s="123"/>
      <c r="P37" s="137"/>
      <c r="Q37" s="5"/>
    </row>
    <row r="38" spans="2:17" x14ac:dyDescent="0.3">
      <c r="B38" s="45" t="s">
        <v>179</v>
      </c>
      <c r="C38" s="5"/>
      <c r="D38" s="5"/>
      <c r="E38" s="231">
        <v>0</v>
      </c>
      <c r="F38" s="143">
        <f>$E38*SUM(F$32:F37)</f>
        <v>0</v>
      </c>
      <c r="G38" s="88">
        <f>IFERROR($F38/Overview!$D$32,0)</f>
        <v>0</v>
      </c>
      <c r="H38" s="107">
        <f>IFERROR($F38/Overview!$D$31,0)</f>
        <v>0</v>
      </c>
      <c r="I38" s="135">
        <f t="shared" si="2"/>
        <v>0</v>
      </c>
      <c r="J38" s="5"/>
      <c r="K38" s="211" t="s">
        <v>180</v>
      </c>
      <c r="L38" s="212"/>
      <c r="M38" s="229">
        <v>0</v>
      </c>
      <c r="N38" s="88">
        <f>IFERROR($M38/Overview!$D$32,0)</f>
        <v>0</v>
      </c>
      <c r="O38" s="107">
        <f>IFERROR($M38/Overview!$D$31,0)</f>
        <v>0</v>
      </c>
      <c r="P38" s="135">
        <f t="shared" ref="P38:P53" si="3">IFERROR($M38/$M$59,0)</f>
        <v>0</v>
      </c>
      <c r="Q38" s="5"/>
    </row>
    <row r="39" spans="2:17" x14ac:dyDescent="0.3">
      <c r="B39" s="45" t="s">
        <v>181</v>
      </c>
      <c r="C39" s="5"/>
      <c r="D39" s="5"/>
      <c r="E39" s="231">
        <v>0</v>
      </c>
      <c r="F39" s="143">
        <f>$E39*SUM(F$32:F38)</f>
        <v>0</v>
      </c>
      <c r="G39" s="88">
        <f>IFERROR($F39/Overview!$D$32,0)</f>
        <v>0</v>
      </c>
      <c r="H39" s="107">
        <f>IFERROR($F39/Overview!$D$31,0)</f>
        <v>0</v>
      </c>
      <c r="I39" s="135">
        <f t="shared" si="2"/>
        <v>0</v>
      </c>
      <c r="J39" s="5"/>
      <c r="K39" s="211" t="s">
        <v>149</v>
      </c>
      <c r="L39" s="212"/>
      <c r="M39" s="229">
        <v>0</v>
      </c>
      <c r="N39" s="88">
        <f>IFERROR($M39/Overview!$D$32,0)</f>
        <v>0</v>
      </c>
      <c r="O39" s="107">
        <f>IFERROR($M39/Overview!$D$31,0)</f>
        <v>0</v>
      </c>
      <c r="P39" s="135">
        <f t="shared" si="3"/>
        <v>0</v>
      </c>
      <c r="Q39" s="5"/>
    </row>
    <row r="40" spans="2:17" x14ac:dyDescent="0.3">
      <c r="B40" s="45" t="s">
        <v>182</v>
      </c>
      <c r="C40" s="5"/>
      <c r="D40" s="5"/>
      <c r="E40" s="231">
        <v>0</v>
      </c>
      <c r="F40" s="143">
        <f>$E40*SUM(F$32:F39)</f>
        <v>0</v>
      </c>
      <c r="G40" s="88">
        <f>IFERROR($F40/Overview!$D$32,0)</f>
        <v>0</v>
      </c>
      <c r="H40" s="107">
        <f>IFERROR($F40/Overview!$D$31,0)</f>
        <v>0</v>
      </c>
      <c r="I40" s="135">
        <f t="shared" si="2"/>
        <v>0</v>
      </c>
      <c r="J40" s="5"/>
      <c r="K40" s="211" t="s">
        <v>151</v>
      </c>
      <c r="L40" s="212"/>
      <c r="M40" s="229">
        <v>0</v>
      </c>
      <c r="N40" s="88">
        <f>IFERROR($M40/Overview!$D$32,0)</f>
        <v>0</v>
      </c>
      <c r="O40" s="107">
        <f>IFERROR($M40/Overview!$D$31,0)</f>
        <v>0</v>
      </c>
      <c r="P40" s="135">
        <f t="shared" si="3"/>
        <v>0</v>
      </c>
      <c r="Q40" s="5"/>
    </row>
    <row r="41" spans="2:17" x14ac:dyDescent="0.3">
      <c r="B41" s="45" t="s">
        <v>183</v>
      </c>
      <c r="C41" s="5"/>
      <c r="D41" s="5"/>
      <c r="E41" s="231">
        <v>0</v>
      </c>
      <c r="F41" s="143">
        <f>$E41*SUM(F$32:F40)</f>
        <v>0</v>
      </c>
      <c r="G41" s="88">
        <f>IFERROR($F41/Overview!$D$32,0)</f>
        <v>0</v>
      </c>
      <c r="H41" s="107">
        <f>IFERROR($F41/Overview!$D$31,0)</f>
        <v>0</v>
      </c>
      <c r="I41" s="135">
        <f t="shared" si="2"/>
        <v>0</v>
      </c>
      <c r="J41" s="5"/>
      <c r="K41" s="211" t="s">
        <v>153</v>
      </c>
      <c r="L41" s="212"/>
      <c r="M41" s="229">
        <v>0</v>
      </c>
      <c r="N41" s="88">
        <f>IFERROR($M41/Overview!$D$32,0)</f>
        <v>0</v>
      </c>
      <c r="O41" s="107">
        <f>IFERROR($M41/Overview!$D$31,0)</f>
        <v>0</v>
      </c>
      <c r="P41" s="135">
        <f t="shared" si="3"/>
        <v>0</v>
      </c>
      <c r="Q41" s="5"/>
    </row>
    <row r="42" spans="2:17" x14ac:dyDescent="0.3">
      <c r="B42" s="45" t="s">
        <v>184</v>
      </c>
      <c r="C42" s="5"/>
      <c r="D42" s="5"/>
      <c r="E42" s="298"/>
      <c r="F42" s="229">
        <v>0</v>
      </c>
      <c r="G42" s="88">
        <f>IFERROR($F42/Overview!$D$32,0)</f>
        <v>0</v>
      </c>
      <c r="H42" s="107">
        <f>IFERROR($F42/Overview!$D$31,0)</f>
        <v>0</v>
      </c>
      <c r="I42" s="135">
        <f t="shared" si="2"/>
        <v>0</v>
      </c>
      <c r="J42" s="5"/>
      <c r="K42" s="211" t="s">
        <v>154</v>
      </c>
      <c r="L42" s="212"/>
      <c r="M42" s="229">
        <v>0</v>
      </c>
      <c r="N42" s="88">
        <f>IFERROR($M42/Overview!$D$32,0)</f>
        <v>0</v>
      </c>
      <c r="O42" s="107">
        <f>IFERROR($M42/Overview!$D$31,0)</f>
        <v>0</v>
      </c>
      <c r="P42" s="135">
        <f t="shared" si="3"/>
        <v>0</v>
      </c>
      <c r="Q42" s="5"/>
    </row>
    <row r="43" spans="2:17" x14ac:dyDescent="0.3">
      <c r="B43" s="233" t="s">
        <v>185</v>
      </c>
      <c r="C43" s="234"/>
      <c r="D43" s="234"/>
      <c r="E43" s="212"/>
      <c r="F43" s="229">
        <v>0</v>
      </c>
      <c r="G43" s="88">
        <f>IFERROR($F43/Overview!$D$32,0)</f>
        <v>0</v>
      </c>
      <c r="H43" s="107">
        <f>IFERROR($F43/Overview!$D$31,0)</f>
        <v>0</v>
      </c>
      <c r="I43" s="135">
        <f t="shared" si="2"/>
        <v>0</v>
      </c>
      <c r="J43" s="5"/>
      <c r="K43" s="211" t="s">
        <v>155</v>
      </c>
      <c r="L43" s="212"/>
      <c r="M43" s="229">
        <v>0</v>
      </c>
      <c r="N43" s="88">
        <f>IFERROR($M43/Overview!$D$32,0)</f>
        <v>0</v>
      </c>
      <c r="O43" s="107">
        <f>IFERROR($M43/Overview!$D$31,0)</f>
        <v>0</v>
      </c>
      <c r="P43" s="135">
        <f t="shared" si="3"/>
        <v>0</v>
      </c>
      <c r="Q43" s="5"/>
    </row>
    <row r="44" spans="2:17" x14ac:dyDescent="0.3">
      <c r="B44" s="62" t="s">
        <v>186</v>
      </c>
      <c r="C44" s="53"/>
      <c r="D44" s="53"/>
      <c r="E44" s="51"/>
      <c r="F44" s="94">
        <f>SUM(F35:F43)</f>
        <v>0</v>
      </c>
      <c r="G44" s="94">
        <f>IFERROR($F44/Overview!$D$32,0)</f>
        <v>0</v>
      </c>
      <c r="H44" s="93">
        <f>IFERROR($F44/Overview!$D$31,0)</f>
        <v>0</v>
      </c>
      <c r="I44" s="138">
        <f t="shared" si="2"/>
        <v>0</v>
      </c>
      <c r="J44" s="5"/>
      <c r="K44" s="211" t="s">
        <v>157</v>
      </c>
      <c r="L44" s="212"/>
      <c r="M44" s="229">
        <v>0</v>
      </c>
      <c r="N44" s="88">
        <f>IFERROR($M44/Overview!$D$32,0)</f>
        <v>0</v>
      </c>
      <c r="O44" s="107">
        <f>IFERROR($M44/Overview!$D$31,0)</f>
        <v>0</v>
      </c>
      <c r="P44" s="135">
        <f t="shared" si="3"/>
        <v>0</v>
      </c>
      <c r="Q44" s="5"/>
    </row>
    <row r="45" spans="2:17" x14ac:dyDescent="0.3">
      <c r="B45" s="33"/>
      <c r="C45" s="5"/>
      <c r="D45" s="5"/>
      <c r="E45" s="37"/>
      <c r="F45" s="88"/>
      <c r="G45" s="88"/>
      <c r="H45" s="107"/>
      <c r="I45" s="135"/>
      <c r="J45" s="5"/>
      <c r="K45" s="33" t="s">
        <v>187</v>
      </c>
      <c r="L45" s="37"/>
      <c r="M45" s="229">
        <v>0</v>
      </c>
      <c r="N45" s="88">
        <f>IFERROR($M45/Overview!$D$32,0)</f>
        <v>0</v>
      </c>
      <c r="O45" s="107">
        <f>IFERROR($M45/Overview!$D$31,0)</f>
        <v>0</v>
      </c>
      <c r="P45" s="135">
        <f t="shared" si="3"/>
        <v>0</v>
      </c>
      <c r="Q45" s="5"/>
    </row>
    <row r="46" spans="2:17" x14ac:dyDescent="0.3">
      <c r="B46" s="66" t="s">
        <v>188</v>
      </c>
      <c r="C46" s="60"/>
      <c r="D46" s="60"/>
      <c r="E46" s="447" t="str">
        <f>IF(F46=0,"NA",IF(Overview!F13="Occupied Rehab",$G$46&gt;=5000,$G$46&gt;=15000))</f>
        <v>NA</v>
      </c>
      <c r="F46" s="129">
        <f>SUM(F44,F32)</f>
        <v>0</v>
      </c>
      <c r="G46" s="129">
        <f>IFERROR($F46/Overview!$D$32,0)</f>
        <v>0</v>
      </c>
      <c r="H46" s="124">
        <f>IFERROR($F46/Overview!$D$31,0)</f>
        <v>0</v>
      </c>
      <c r="I46" s="136">
        <f>IFERROR($F46/$F$118,0)</f>
        <v>0</v>
      </c>
      <c r="J46" s="5"/>
      <c r="K46" s="33" t="s">
        <v>189</v>
      </c>
      <c r="L46" s="37"/>
      <c r="M46" s="229">
        <v>0</v>
      </c>
      <c r="N46" s="88">
        <f>IFERROR($M46/Overview!$D$32,0)</f>
        <v>0</v>
      </c>
      <c r="O46" s="107">
        <f>IFERROR($M46/Overview!$D$31,0)</f>
        <v>0</v>
      </c>
      <c r="P46" s="135">
        <f t="shared" si="3"/>
        <v>0</v>
      </c>
      <c r="Q46" s="5"/>
    </row>
    <row r="47" spans="2:17" x14ac:dyDescent="0.3">
      <c r="B47" s="33"/>
      <c r="C47" s="5"/>
      <c r="D47" s="5"/>
      <c r="E47" s="37"/>
      <c r="F47" s="88"/>
      <c r="G47" s="88"/>
      <c r="H47" s="107"/>
      <c r="I47" s="135"/>
      <c r="J47" s="5"/>
      <c r="K47" s="33" t="s">
        <v>52</v>
      </c>
      <c r="L47" s="37"/>
      <c r="M47" s="229">
        <v>0</v>
      </c>
      <c r="N47" s="88">
        <f>IFERROR($M47/Overview!$D$32,0)</f>
        <v>0</v>
      </c>
      <c r="O47" s="107">
        <f>IFERROR($M47/Overview!$D$31,0)</f>
        <v>0</v>
      </c>
      <c r="P47" s="135">
        <f t="shared" si="3"/>
        <v>0</v>
      </c>
      <c r="Q47" s="5"/>
    </row>
    <row r="48" spans="2:17" x14ac:dyDescent="0.3">
      <c r="B48" s="54" t="s">
        <v>79</v>
      </c>
      <c r="C48" s="55"/>
      <c r="D48" s="55"/>
      <c r="E48" s="56"/>
      <c r="F48" s="128"/>
      <c r="G48" s="128"/>
      <c r="H48" s="123"/>
      <c r="I48" s="137"/>
      <c r="J48" s="5"/>
      <c r="K48" s="33" t="s">
        <v>168</v>
      </c>
      <c r="L48" s="37"/>
      <c r="M48" s="229">
        <v>0</v>
      </c>
      <c r="N48" s="88">
        <f>IFERROR($M48/Overview!$D$32,0)</f>
        <v>0</v>
      </c>
      <c r="O48" s="107">
        <f>IFERROR($M48/Overview!$D$31,0)</f>
        <v>0</v>
      </c>
      <c r="P48" s="135">
        <f t="shared" si="3"/>
        <v>0</v>
      </c>
      <c r="Q48" s="5"/>
    </row>
    <row r="49" spans="2:20" x14ac:dyDescent="0.3">
      <c r="B49" s="63" t="s">
        <v>190</v>
      </c>
      <c r="C49" s="5"/>
      <c r="D49" s="5"/>
      <c r="E49" s="37"/>
      <c r="F49" s="88"/>
      <c r="G49" s="88"/>
      <c r="H49" s="107"/>
      <c r="I49" s="135"/>
      <c r="J49" s="5"/>
      <c r="K49" s="33" t="s">
        <v>170</v>
      </c>
      <c r="L49" s="37"/>
      <c r="M49" s="229">
        <v>0</v>
      </c>
      <c r="N49" s="88">
        <f>IFERROR($M49/Overview!$D$32,0)</f>
        <v>0</v>
      </c>
      <c r="O49" s="107">
        <f>IFERROR($M49/Overview!$D$31,0)</f>
        <v>0</v>
      </c>
      <c r="P49" s="135">
        <f t="shared" si="3"/>
        <v>0</v>
      </c>
      <c r="Q49" s="5"/>
    </row>
    <row r="50" spans="2:20" x14ac:dyDescent="0.3">
      <c r="B50" s="45" t="s">
        <v>191</v>
      </c>
      <c r="C50" s="5"/>
      <c r="D50" s="5"/>
      <c r="E50" s="37"/>
      <c r="F50" s="229">
        <v>0</v>
      </c>
      <c r="G50" s="88">
        <f>IFERROR($F50/Overview!$D$32,0)</f>
        <v>0</v>
      </c>
      <c r="H50" s="107">
        <f>IFERROR($F50/Overview!$D$31,0)</f>
        <v>0</v>
      </c>
      <c r="I50" s="135">
        <f t="shared" ref="I50:I57" si="4">IFERROR($F50/$F$118,0)</f>
        <v>0</v>
      </c>
      <c r="J50" s="5"/>
      <c r="K50" s="33" t="s">
        <v>172</v>
      </c>
      <c r="L50" s="37"/>
      <c r="M50" s="143">
        <f>$M$59-SUM($M$38:$M$49,$M$51:$M$52)</f>
        <v>0</v>
      </c>
      <c r="N50" s="88">
        <f>IFERROR($M50/Overview!$D$32,0)</f>
        <v>0</v>
      </c>
      <c r="O50" s="107">
        <f>IFERROR($M50/Overview!$D$31,0)</f>
        <v>0</v>
      </c>
      <c r="P50" s="135">
        <f t="shared" si="3"/>
        <v>0</v>
      </c>
      <c r="Q50" s="5"/>
    </row>
    <row r="51" spans="2:20" x14ac:dyDescent="0.3">
      <c r="B51" s="45" t="s">
        <v>192</v>
      </c>
      <c r="C51" s="5"/>
      <c r="D51" s="5"/>
      <c r="E51" s="37"/>
      <c r="F51" s="229">
        <v>0</v>
      </c>
      <c r="G51" s="88">
        <f>IFERROR($F51/Overview!$D$32,0)</f>
        <v>0</v>
      </c>
      <c r="H51" s="107">
        <f>IFERROR($F51/Overview!$D$31,0)</f>
        <v>0</v>
      </c>
      <c r="I51" s="135">
        <f t="shared" si="4"/>
        <v>0</v>
      </c>
      <c r="J51" s="5"/>
      <c r="K51" s="211" t="s">
        <v>193</v>
      </c>
      <c r="L51" s="212"/>
      <c r="M51" s="229">
        <v>0</v>
      </c>
      <c r="N51" s="88">
        <f>IFERROR($M51/Overview!$D$32,0)</f>
        <v>0</v>
      </c>
      <c r="O51" s="107">
        <f>IFERROR($M51/Overview!$D$31,0)</f>
        <v>0</v>
      </c>
      <c r="P51" s="135">
        <f t="shared" si="3"/>
        <v>0</v>
      </c>
      <c r="Q51" s="5"/>
    </row>
    <row r="52" spans="2:20" x14ac:dyDescent="0.3">
      <c r="B52" s="45" t="s">
        <v>194</v>
      </c>
      <c r="C52" s="5"/>
      <c r="D52" s="5"/>
      <c r="E52" s="37"/>
      <c r="F52" s="229">
        <v>0</v>
      </c>
      <c r="G52" s="88">
        <f>IFERROR($F52/Overview!$D$32,0)</f>
        <v>0</v>
      </c>
      <c r="H52" s="107">
        <f>IFERROR($F52/Overview!$D$31,0)</f>
        <v>0</v>
      </c>
      <c r="I52" s="135">
        <f t="shared" si="4"/>
        <v>0</v>
      </c>
      <c r="J52" s="5"/>
      <c r="K52" s="211" t="s">
        <v>193</v>
      </c>
      <c r="L52" s="212"/>
      <c r="M52" s="229">
        <v>0</v>
      </c>
      <c r="N52" s="88">
        <f>IFERROR($M52/Overview!$D$32,0)</f>
        <v>0</v>
      </c>
      <c r="O52" s="107">
        <f>IFERROR($M52/Overview!$D$31,0)</f>
        <v>0</v>
      </c>
      <c r="P52" s="135">
        <f t="shared" si="3"/>
        <v>0</v>
      </c>
      <c r="Q52" s="5"/>
    </row>
    <row r="53" spans="2:20" x14ac:dyDescent="0.3">
      <c r="B53" s="45" t="s">
        <v>195</v>
      </c>
      <c r="C53" s="5"/>
      <c r="D53" s="5"/>
      <c r="E53" s="37"/>
      <c r="F53" s="229">
        <v>0</v>
      </c>
      <c r="G53" s="88">
        <f>IFERROR($F53/Overview!$D$32,0)</f>
        <v>0</v>
      </c>
      <c r="H53" s="107">
        <f>IFERROR($F53/Overview!$D$31,0)</f>
        <v>0</v>
      </c>
      <c r="I53" s="135">
        <f t="shared" si="4"/>
        <v>0</v>
      </c>
      <c r="J53" s="5"/>
      <c r="K53" s="50" t="s">
        <v>75</v>
      </c>
      <c r="L53" s="51"/>
      <c r="M53" s="94">
        <f>SUM(M38:M52)</f>
        <v>0</v>
      </c>
      <c r="N53" s="94">
        <f>IFERROR($M53/Overview!$D$32,0)</f>
        <v>0</v>
      </c>
      <c r="O53" s="93">
        <f>IFERROR($M53/Overview!$D$31,0)</f>
        <v>0</v>
      </c>
      <c r="P53" s="138">
        <f t="shared" si="3"/>
        <v>0</v>
      </c>
      <c r="Q53" s="5"/>
    </row>
    <row r="54" spans="2:20" x14ac:dyDescent="0.3">
      <c r="B54" s="45" t="s">
        <v>196</v>
      </c>
      <c r="C54" s="5"/>
      <c r="D54" s="5"/>
      <c r="E54" s="37"/>
      <c r="F54" s="229">
        <v>0</v>
      </c>
      <c r="G54" s="88">
        <f>IFERROR($F54/Overview!$D$32,0)</f>
        <v>0</v>
      </c>
      <c r="H54" s="107">
        <f>IFERROR($F54/Overview!$D$31,0)</f>
        <v>0</v>
      </c>
      <c r="I54" s="135">
        <f t="shared" si="4"/>
        <v>0</v>
      </c>
      <c r="J54" s="5"/>
      <c r="K54" s="119"/>
      <c r="L54" s="37"/>
      <c r="M54" s="88" t="b">
        <f>M53=$M$59</f>
        <v>1</v>
      </c>
      <c r="N54" s="88"/>
      <c r="O54" s="107"/>
      <c r="P54" s="135"/>
      <c r="Q54" s="5"/>
    </row>
    <row r="55" spans="2:20" x14ac:dyDescent="0.3">
      <c r="B55" s="45" t="s">
        <v>197</v>
      </c>
      <c r="C55" s="5"/>
      <c r="D55" s="5"/>
      <c r="E55" s="37"/>
      <c r="F55" s="229">
        <v>0</v>
      </c>
      <c r="G55" s="88">
        <f>IFERROR($F55/Overview!$D$32,0)</f>
        <v>0</v>
      </c>
      <c r="H55" s="107">
        <f>IFERROR($F55/Overview!$D$31,0)</f>
        <v>0</v>
      </c>
      <c r="I55" s="135">
        <f t="shared" si="4"/>
        <v>0</v>
      </c>
      <c r="J55" s="5"/>
      <c r="K55" s="54" t="s">
        <v>76</v>
      </c>
      <c r="L55" s="56"/>
      <c r="M55" s="128"/>
      <c r="N55" s="128"/>
      <c r="O55" s="123"/>
      <c r="P55" s="137"/>
      <c r="Q55" s="5"/>
    </row>
    <row r="56" spans="2:20" x14ac:dyDescent="0.3">
      <c r="B56" s="233" t="s">
        <v>198</v>
      </c>
      <c r="C56" s="234"/>
      <c r="D56" s="234"/>
      <c r="E56" s="212"/>
      <c r="F56" s="229">
        <v>0</v>
      </c>
      <c r="G56" s="88">
        <f>IFERROR($F56/Overview!$D$32,0)</f>
        <v>0</v>
      </c>
      <c r="H56" s="107">
        <f>IFERROR($F56/Overview!$D$31,0)</f>
        <v>0</v>
      </c>
      <c r="I56" s="135">
        <f t="shared" si="4"/>
        <v>0</v>
      </c>
      <c r="J56" s="5"/>
      <c r="K56" s="33" t="s">
        <v>199</v>
      </c>
      <c r="L56" s="37"/>
      <c r="M56" s="143">
        <f>$F$21</f>
        <v>0</v>
      </c>
      <c r="N56" s="88">
        <f>IFERROR($M56/Overview!$D$32,0)</f>
        <v>0</v>
      </c>
      <c r="O56" s="107">
        <f>IFERROR($M56/Overview!$D$31,0)</f>
        <v>0</v>
      </c>
      <c r="P56" s="135">
        <f>IFERROR($M56/$M$59,0)</f>
        <v>0</v>
      </c>
      <c r="Q56" s="5"/>
    </row>
    <row r="57" spans="2:20" x14ac:dyDescent="0.3">
      <c r="B57" s="62" t="s">
        <v>200</v>
      </c>
      <c r="C57" s="53"/>
      <c r="D57" s="53"/>
      <c r="E57" s="51"/>
      <c r="F57" s="94">
        <f>SUM(F50:F56)</f>
        <v>0</v>
      </c>
      <c r="G57" s="94">
        <f>IFERROR($F57/Overview!$D$32,0)</f>
        <v>0</v>
      </c>
      <c r="H57" s="93">
        <f>IFERROR($F57/Overview!$D$31,0)</f>
        <v>0</v>
      </c>
      <c r="I57" s="138">
        <f t="shared" si="4"/>
        <v>0</v>
      </c>
      <c r="J57" s="5"/>
      <c r="K57" s="33" t="s">
        <v>78</v>
      </c>
      <c r="L57" s="37"/>
      <c r="M57" s="143">
        <f>$F$46</f>
        <v>0</v>
      </c>
      <c r="N57" s="88">
        <f>IFERROR($M57/Overview!$D$32,0)</f>
        <v>0</v>
      </c>
      <c r="O57" s="107">
        <f>IFERROR($M57/Overview!$D$31,0)</f>
        <v>0</v>
      </c>
      <c r="P57" s="135">
        <f>IFERROR($M57/$M$59,0)</f>
        <v>0</v>
      </c>
      <c r="Q57" s="5"/>
    </row>
    <row r="58" spans="2:20" x14ac:dyDescent="0.3">
      <c r="B58" s="33"/>
      <c r="C58" s="5"/>
      <c r="D58" s="5"/>
      <c r="E58" s="37"/>
      <c r="F58" s="88"/>
      <c r="G58" s="88"/>
      <c r="H58" s="107"/>
      <c r="I58" s="135"/>
      <c r="J58" s="5"/>
      <c r="K58" s="33" t="s">
        <v>79</v>
      </c>
      <c r="L58" s="37"/>
      <c r="M58" s="143">
        <f>$F$116</f>
        <v>0</v>
      </c>
      <c r="N58" s="88">
        <f>IFERROR($M58/Overview!$D$32,0)</f>
        <v>0</v>
      </c>
      <c r="O58" s="107">
        <f>IFERROR($M58/Overview!$D$31,0)</f>
        <v>0</v>
      </c>
      <c r="P58" s="135">
        <f>IFERROR($M58/$M$59,0)</f>
        <v>0</v>
      </c>
      <c r="Q58" s="5"/>
    </row>
    <row r="59" spans="2:20" x14ac:dyDescent="0.3">
      <c r="B59" s="63" t="s">
        <v>201</v>
      </c>
      <c r="C59" s="5"/>
      <c r="D59" s="5"/>
      <c r="E59" s="37"/>
      <c r="F59" s="88"/>
      <c r="G59" s="88"/>
      <c r="H59" s="107"/>
      <c r="I59" s="135"/>
      <c r="J59" s="5"/>
      <c r="K59" s="50" t="s">
        <v>80</v>
      </c>
      <c r="L59" s="51"/>
      <c r="M59" s="94">
        <f>SUM(M56:M58)</f>
        <v>0</v>
      </c>
      <c r="N59" s="94">
        <f>IFERROR($M59/Overview!$D$32,0)</f>
        <v>0</v>
      </c>
      <c r="O59" s="93">
        <f>IFERROR($M59/Overview!$D$31,0)</f>
        <v>0</v>
      </c>
      <c r="P59" s="138">
        <f>IFERROR($M59/$M$59,0)</f>
        <v>0</v>
      </c>
      <c r="Q59" s="5"/>
    </row>
    <row r="60" spans="2:20" x14ac:dyDescent="0.3">
      <c r="B60" s="45" t="s">
        <v>202</v>
      </c>
      <c r="C60" s="5"/>
      <c r="D60" s="5"/>
      <c r="E60" s="37"/>
      <c r="F60" s="229">
        <v>0</v>
      </c>
      <c r="G60" s="88">
        <f>IFERROR($F60/Overview!$D$32,0)</f>
        <v>0</v>
      </c>
      <c r="H60" s="107">
        <f>IFERROR($F60/Overview!$D$31,0)</f>
        <v>0</v>
      </c>
      <c r="I60" s="135">
        <f t="shared" ref="I60:I66" si="5">IFERROR($F60/$F$118,0)</f>
        <v>0</v>
      </c>
      <c r="J60" s="5"/>
      <c r="K60" s="34"/>
      <c r="L60" s="39"/>
      <c r="M60" s="132"/>
      <c r="N60" s="132"/>
      <c r="O60" s="127"/>
      <c r="P60" s="141"/>
      <c r="Q60" s="5"/>
    </row>
    <row r="61" spans="2:20" x14ac:dyDescent="0.3">
      <c r="B61" s="45" t="s">
        <v>203</v>
      </c>
      <c r="C61" s="5"/>
      <c r="D61" s="5"/>
      <c r="E61" s="37"/>
      <c r="F61" s="229">
        <v>0</v>
      </c>
      <c r="G61" s="88">
        <f>IFERROR($F61/Overview!$D$32,0)</f>
        <v>0</v>
      </c>
      <c r="H61" s="107">
        <f>IFERROR($F61/Overview!$D$31,0)</f>
        <v>0</v>
      </c>
      <c r="I61" s="135">
        <f t="shared" si="5"/>
        <v>0</v>
      </c>
      <c r="J61" s="5"/>
      <c r="K61" s="5"/>
      <c r="L61" s="5"/>
      <c r="M61" s="5"/>
      <c r="N61" s="5"/>
      <c r="O61" s="5"/>
      <c r="P61" s="5"/>
      <c r="Q61" s="5"/>
      <c r="R61" s="5"/>
      <c r="S61" s="5"/>
      <c r="T61" s="5"/>
    </row>
    <row r="62" spans="2:20" x14ac:dyDescent="0.3">
      <c r="B62" s="45" t="s">
        <v>204</v>
      </c>
      <c r="C62" s="5"/>
      <c r="D62" s="5"/>
      <c r="E62" s="37"/>
      <c r="F62" s="229">
        <v>0</v>
      </c>
      <c r="G62" s="88">
        <f>IFERROR($F62/Overview!$D$32,0)</f>
        <v>0</v>
      </c>
      <c r="H62" s="107">
        <f>IFERROR($F62/Overview!$D$31,0)</f>
        <v>0</v>
      </c>
      <c r="I62" s="135">
        <f t="shared" si="5"/>
        <v>0</v>
      </c>
      <c r="J62" s="5"/>
      <c r="K62" s="5"/>
      <c r="L62" s="5"/>
      <c r="M62" s="5"/>
      <c r="N62" s="5"/>
      <c r="O62" s="5"/>
      <c r="P62" s="5"/>
      <c r="Q62" s="5"/>
      <c r="R62" s="5"/>
      <c r="S62" s="5"/>
      <c r="T62" s="5"/>
    </row>
    <row r="63" spans="2:20" x14ac:dyDescent="0.3">
      <c r="B63" s="45" t="s">
        <v>205</v>
      </c>
      <c r="C63" s="5"/>
      <c r="D63" s="5"/>
      <c r="E63" s="37"/>
      <c r="F63" s="229">
        <v>0</v>
      </c>
      <c r="G63" s="88">
        <f>IFERROR($F63/Overview!$D$32,0)</f>
        <v>0</v>
      </c>
      <c r="H63" s="107">
        <f>IFERROR($F63/Overview!$D$31,0)</f>
        <v>0</v>
      </c>
      <c r="I63" s="135">
        <f t="shared" si="5"/>
        <v>0</v>
      </c>
      <c r="J63" s="5"/>
      <c r="K63" s="41" t="s">
        <v>206</v>
      </c>
      <c r="L63" s="42"/>
      <c r="M63" s="42"/>
      <c r="N63" s="42"/>
      <c r="O63" s="43"/>
      <c r="P63" s="5"/>
      <c r="Q63" s="5"/>
      <c r="R63" s="5"/>
      <c r="S63" s="5"/>
      <c r="T63" s="5"/>
    </row>
    <row r="64" spans="2:20" x14ac:dyDescent="0.3">
      <c r="B64" s="45" t="s">
        <v>207</v>
      </c>
      <c r="C64" s="5"/>
      <c r="D64" s="5"/>
      <c r="E64" s="37"/>
      <c r="F64" s="229">
        <v>0</v>
      </c>
      <c r="G64" s="88">
        <f>IFERROR($F64/Overview!$D$32,0)</f>
        <v>0</v>
      </c>
      <c r="H64" s="107">
        <f>IFERROR($F64/Overview!$D$31,0)</f>
        <v>0</v>
      </c>
      <c r="I64" s="135">
        <f t="shared" si="5"/>
        <v>0</v>
      </c>
      <c r="J64" s="5"/>
      <c r="K64" s="470" t="s">
        <v>29</v>
      </c>
      <c r="L64" s="471"/>
      <c r="M64" s="454" t="s">
        <v>208</v>
      </c>
      <c r="N64" s="454" t="s">
        <v>209</v>
      </c>
      <c r="O64" s="454" t="s">
        <v>74</v>
      </c>
      <c r="P64" s="5"/>
      <c r="Q64" s="5"/>
      <c r="R64" s="5"/>
      <c r="S64" s="5"/>
      <c r="T64" s="5"/>
    </row>
    <row r="65" spans="2:20" x14ac:dyDescent="0.3">
      <c r="B65" s="233" t="s">
        <v>210</v>
      </c>
      <c r="C65" s="234"/>
      <c r="D65" s="234"/>
      <c r="E65" s="212"/>
      <c r="F65" s="229">
        <v>0</v>
      </c>
      <c r="G65" s="88">
        <f>IFERROR($F65/Overview!$D$32,0)</f>
        <v>0</v>
      </c>
      <c r="H65" s="107">
        <f>IFERROR($F65/Overview!$D$31,0)</f>
        <v>0</v>
      </c>
      <c r="I65" s="135">
        <f t="shared" si="5"/>
        <v>0</v>
      </c>
      <c r="J65" s="5"/>
      <c r="K65" s="497"/>
      <c r="L65" s="498"/>
      <c r="M65" s="455"/>
      <c r="N65" s="455"/>
      <c r="O65" s="455"/>
      <c r="P65" s="5"/>
      <c r="Q65" s="5"/>
      <c r="R65" s="5"/>
      <c r="S65" s="5"/>
      <c r="T65" s="5"/>
    </row>
    <row r="66" spans="2:20" x14ac:dyDescent="0.3">
      <c r="B66" s="62" t="s">
        <v>211</v>
      </c>
      <c r="C66" s="53"/>
      <c r="D66" s="53"/>
      <c r="E66" s="51"/>
      <c r="F66" s="94">
        <f>SUM(F60:F65)</f>
        <v>0</v>
      </c>
      <c r="G66" s="94">
        <f>IFERROR($F66/Overview!$D$32,0)</f>
        <v>0</v>
      </c>
      <c r="H66" s="93">
        <f>IFERROR($F66/Overview!$D$31,0)</f>
        <v>0</v>
      </c>
      <c r="I66" s="138">
        <f t="shared" si="5"/>
        <v>0</v>
      </c>
      <c r="J66" s="5"/>
      <c r="K66" s="499"/>
      <c r="L66" s="500"/>
      <c r="M66" s="456"/>
      <c r="N66" s="456"/>
      <c r="O66" s="456"/>
      <c r="P66" s="5"/>
      <c r="Q66" s="5"/>
      <c r="R66" s="5"/>
      <c r="S66" s="5"/>
      <c r="T66" s="5"/>
    </row>
    <row r="67" spans="2:20" x14ac:dyDescent="0.3">
      <c r="B67" s="33"/>
      <c r="C67" s="5"/>
      <c r="D67" s="5"/>
      <c r="E67" s="37"/>
      <c r="F67" s="88"/>
      <c r="G67" s="88"/>
      <c r="H67" s="107"/>
      <c r="I67" s="135"/>
      <c r="J67" s="5"/>
      <c r="K67" s="54" t="s">
        <v>212</v>
      </c>
      <c r="L67" s="56"/>
      <c r="M67" s="57"/>
      <c r="N67" s="322"/>
      <c r="O67" s="58"/>
      <c r="P67" s="5"/>
      <c r="Q67" s="5"/>
      <c r="R67" s="5"/>
      <c r="S67" s="5"/>
      <c r="T67" s="5"/>
    </row>
    <row r="68" spans="2:20" x14ac:dyDescent="0.3">
      <c r="B68" s="63" t="s">
        <v>213</v>
      </c>
      <c r="C68" s="5"/>
      <c r="D68" s="5"/>
      <c r="E68" s="37"/>
      <c r="F68" s="88"/>
      <c r="G68" s="88"/>
      <c r="H68" s="107"/>
      <c r="I68" s="135"/>
      <c r="J68" s="5"/>
      <c r="K68" s="33" t="s">
        <v>214</v>
      </c>
      <c r="L68" s="37"/>
      <c r="M68" s="150" t="str">
        <f>INDEX(List!$K$5:$K$10,MATCH(Overview!$F$18,List!$J$5:$J$10,0))</f>
        <v>NA</v>
      </c>
      <c r="N68" s="150" t="str">
        <f>INDEX(List!$K$5:$K$10,MATCH(Overview!$F$18,List!$J$5:$J$10,0))</f>
        <v>NA</v>
      </c>
      <c r="O68" s="73" t="str">
        <f>INDEX(List!$K$5:$K$10,MATCH(Overview!$F$18,List!$J$5:$J$10,0))</f>
        <v>NA</v>
      </c>
      <c r="P68" s="5"/>
      <c r="Q68" s="5"/>
      <c r="R68" s="5"/>
      <c r="S68" s="5"/>
      <c r="T68" s="5"/>
    </row>
    <row r="69" spans="2:20" x14ac:dyDescent="0.3">
      <c r="B69" s="45" t="s">
        <v>215</v>
      </c>
      <c r="C69" s="5"/>
      <c r="D69" s="5"/>
      <c r="E69" s="37"/>
      <c r="F69" s="229">
        <v>0</v>
      </c>
      <c r="G69" s="88">
        <f>IFERROR($F69/Overview!$D$32,0)</f>
        <v>0</v>
      </c>
      <c r="H69" s="107">
        <f>IFERROR($F69/Overview!$D$31,0)</f>
        <v>0</v>
      </c>
      <c r="I69" s="135">
        <f>IFERROR($F69/$F$118,0)</f>
        <v>0</v>
      </c>
      <c r="J69" s="5"/>
      <c r="K69" s="33" t="s">
        <v>216</v>
      </c>
      <c r="L69" s="37"/>
      <c r="M69" s="254" t="str">
        <f ca="1">IFERROR(SUMIFS(INDIRECT(_xlfn.CONCAT("'Data'!",ADDRESS(32,MATCH(M$68,Data!31:31,0),1),":",ADDRESS(42,MATCH(M$68,Data!31:31,0),1))),Data!$L$32:$L$42,ROUNDUP('Rent Roll'!$K$124,1)),"NA")</f>
        <v>NA</v>
      </c>
      <c r="N69" s="254" t="str">
        <f ca="1">IFERROR(SUMIFS(INDIRECT(_xlfn.CONCAT("'Data'!",ADDRESS(32,MATCH(N$68,Data!31:31,0),1),":",ADDRESS(42,MATCH(N$68,Data!31:31,0),1))),Data!$L$32:$L$42,ROUNDUP('Rent Roll'!$K$124,1)),"NA")</f>
        <v>NA</v>
      </c>
      <c r="O69" s="250" t="str">
        <f ca="1">IFERROR(SUMIFS(INDIRECT(_xlfn.CONCAT("'Data'!",ADDRESS(32,MATCH(O$68,Data!31:31,0),1),":",ADDRESS(42,MATCH(O$68,Data!31:31,0),1))),Data!$L$32:$L$42,ROUNDUP('Rent Roll'!$K$124,1)),"NA")</f>
        <v>NA</v>
      </c>
      <c r="P69" s="5"/>
      <c r="Q69" s="5"/>
      <c r="R69" s="5"/>
      <c r="S69" s="5"/>
      <c r="T69" s="5"/>
    </row>
    <row r="70" spans="2:20" x14ac:dyDescent="0.3">
      <c r="B70" s="233" t="s">
        <v>217</v>
      </c>
      <c r="C70" s="234"/>
      <c r="D70" s="234"/>
      <c r="E70" s="212"/>
      <c r="F70" s="229">
        <v>0</v>
      </c>
      <c r="G70" s="88">
        <f>IFERROR($F70/Overview!$D$32,0)</f>
        <v>0</v>
      </c>
      <c r="H70" s="107">
        <f>IFERROR($F70/Overview!$D$31,0)</f>
        <v>0</v>
      </c>
      <c r="I70" s="135">
        <f>IFERROR($F70/$F$118,0)</f>
        <v>0</v>
      </c>
      <c r="J70" s="5"/>
      <c r="K70" s="33" t="s">
        <v>218</v>
      </c>
      <c r="L70" s="37"/>
      <c r="M70" s="254" t="s">
        <v>219</v>
      </c>
      <c r="N70" s="324" t="s">
        <v>220</v>
      </c>
      <c r="O70" s="250" t="s">
        <v>131</v>
      </c>
      <c r="P70" s="5"/>
      <c r="Q70" s="5"/>
      <c r="R70" s="5"/>
      <c r="S70" s="5"/>
      <c r="T70" s="5"/>
    </row>
    <row r="71" spans="2:20" x14ac:dyDescent="0.3">
      <c r="B71" s="62" t="s">
        <v>221</v>
      </c>
      <c r="C71" s="53"/>
      <c r="D71" s="53"/>
      <c r="E71" s="51"/>
      <c r="F71" s="94">
        <f>SUM(F69:F70)</f>
        <v>0</v>
      </c>
      <c r="G71" s="94">
        <f>IFERROR($F71/Overview!$D$32,0)</f>
        <v>0</v>
      </c>
      <c r="H71" s="93">
        <f>IFERROR($F71/Overview!$D$31,0)</f>
        <v>0</v>
      </c>
      <c r="I71" s="138">
        <f>IFERROR($F71/$F$118,0)</f>
        <v>0</v>
      </c>
      <c r="J71" s="5"/>
      <c r="K71" s="119"/>
      <c r="L71" s="37"/>
      <c r="M71" s="44"/>
      <c r="N71" s="321"/>
      <c r="O71" s="38"/>
      <c r="P71" s="5"/>
      <c r="Q71" s="5"/>
      <c r="R71" s="5"/>
      <c r="S71" s="5"/>
      <c r="T71" s="5"/>
    </row>
    <row r="72" spans="2:20" x14ac:dyDescent="0.3">
      <c r="B72" s="33"/>
      <c r="C72" s="5"/>
      <c r="D72" s="5"/>
      <c r="E72" s="37"/>
      <c r="F72" s="88"/>
      <c r="G72" s="88"/>
      <c r="H72" s="107"/>
      <c r="I72" s="135"/>
      <c r="J72" s="5"/>
      <c r="K72" s="54" t="s">
        <v>222</v>
      </c>
      <c r="L72" s="56"/>
      <c r="M72" s="57"/>
      <c r="N72" s="322"/>
      <c r="O72" s="58"/>
      <c r="P72" s="5"/>
      <c r="Q72" s="5"/>
      <c r="R72" s="5"/>
      <c r="S72" s="5"/>
      <c r="T72" s="5"/>
    </row>
    <row r="73" spans="2:20" x14ac:dyDescent="0.3">
      <c r="B73" s="63" t="s">
        <v>223</v>
      </c>
      <c r="C73" s="5"/>
      <c r="D73" s="5"/>
      <c r="E73" s="37"/>
      <c r="F73" s="88"/>
      <c r="G73" s="88"/>
      <c r="H73" s="107"/>
      <c r="I73" s="135"/>
      <c r="J73" s="5"/>
      <c r="K73" s="33" t="s">
        <v>224</v>
      </c>
      <c r="L73" s="37"/>
      <c r="M73" s="84">
        <f ca="1">'Rent Roll'!$AE$124</f>
        <v>0</v>
      </c>
      <c r="N73" s="345">
        <f ca="1">'Rent Roll'!$AB$124</f>
        <v>0</v>
      </c>
      <c r="O73" s="346">
        <f ca="1">'Rent Roll'!$AB$124</f>
        <v>0</v>
      </c>
      <c r="P73" s="5"/>
      <c r="Q73" s="5"/>
      <c r="R73" s="5"/>
      <c r="S73" s="5"/>
      <c r="T73" s="5"/>
    </row>
    <row r="74" spans="2:20" x14ac:dyDescent="0.3">
      <c r="B74" s="45" t="s">
        <v>225</v>
      </c>
      <c r="C74" s="5"/>
      <c r="D74" s="5"/>
      <c r="E74" s="37"/>
      <c r="F74" s="229">
        <v>0</v>
      </c>
      <c r="G74" s="88">
        <f>IFERROR($F74/Overview!$D$32,0)</f>
        <v>0</v>
      </c>
      <c r="H74" s="107">
        <f>IFERROR($F74/Overview!$D$31,0)</f>
        <v>0</v>
      </c>
      <c r="I74" s="135">
        <f t="shared" ref="I74:I83" si="6">IFERROR($F74/$F$118,0)</f>
        <v>0</v>
      </c>
      <c r="J74" s="5"/>
      <c r="K74" s="33" t="s">
        <v>226</v>
      </c>
      <c r="L74" s="374">
        <v>0</v>
      </c>
      <c r="M74" s="375">
        <f ca="1">-L74*M73</f>
        <v>0</v>
      </c>
      <c r="N74" s="449" t="s">
        <v>131</v>
      </c>
      <c r="O74" s="450" t="s">
        <v>131</v>
      </c>
      <c r="P74" s="5"/>
      <c r="Q74" s="5"/>
      <c r="R74" s="5"/>
      <c r="S74" s="5"/>
      <c r="T74" s="5"/>
    </row>
    <row r="75" spans="2:20" x14ac:dyDescent="0.3">
      <c r="B75" s="45" t="s">
        <v>227</v>
      </c>
      <c r="C75" s="5"/>
      <c r="D75" s="5"/>
      <c r="E75" s="37"/>
      <c r="F75" s="229">
        <v>0</v>
      </c>
      <c r="G75" s="88">
        <f>IFERROR($F75/Overview!$D$32,0)</f>
        <v>0</v>
      </c>
      <c r="H75" s="107">
        <f>IFERROR($F75/Overview!$D$31,0)</f>
        <v>0</v>
      </c>
      <c r="I75" s="135">
        <f t="shared" si="6"/>
        <v>0</v>
      </c>
      <c r="J75" s="5"/>
      <c r="K75" s="33" t="s">
        <v>228</v>
      </c>
      <c r="L75" s="376">
        <v>0</v>
      </c>
      <c r="M75" s="375">
        <f>-$L$75*'Rent Roll'!$H$124</f>
        <v>0</v>
      </c>
      <c r="N75" s="377">
        <f>-$L$75*'Rent Roll'!$H$124</f>
        <v>0</v>
      </c>
      <c r="O75" s="450" t="s">
        <v>131</v>
      </c>
      <c r="P75" s="5"/>
      <c r="Q75" s="5"/>
      <c r="R75" s="5"/>
      <c r="S75" s="5"/>
      <c r="T75" s="5"/>
    </row>
    <row r="76" spans="2:20" x14ac:dyDescent="0.3">
      <c r="B76" s="45" t="s">
        <v>229</v>
      </c>
      <c r="C76" s="5"/>
      <c r="D76" s="5"/>
      <c r="E76" s="37"/>
      <c r="F76" s="229">
        <v>0</v>
      </c>
      <c r="G76" s="88">
        <f>IFERROR($F76/Overview!$D$32,0)</f>
        <v>0</v>
      </c>
      <c r="H76" s="107">
        <f>IFERROR($F76/Overview!$D$31,0)</f>
        <v>0</v>
      </c>
      <c r="I76" s="135">
        <f t="shared" si="6"/>
        <v>0</v>
      </c>
      <c r="J76" s="5"/>
      <c r="K76" s="50" t="s">
        <v>230</v>
      </c>
      <c r="L76" s="51"/>
      <c r="M76" s="94">
        <f ca="1">SUM(M73:M75)</f>
        <v>0</v>
      </c>
      <c r="N76" s="320">
        <f ca="1">SUM(N73:N75)</f>
        <v>0</v>
      </c>
      <c r="O76" s="104">
        <f ca="1">SUM(O73:O75)</f>
        <v>0</v>
      </c>
      <c r="P76" s="5"/>
      <c r="Q76" s="5"/>
      <c r="R76" s="5"/>
      <c r="S76" s="5"/>
      <c r="T76" s="5"/>
    </row>
    <row r="77" spans="2:20" x14ac:dyDescent="0.3">
      <c r="B77" s="45" t="s">
        <v>231</v>
      </c>
      <c r="C77" s="5"/>
      <c r="D77" s="5"/>
      <c r="E77" s="37"/>
      <c r="F77" s="229">
        <v>0</v>
      </c>
      <c r="G77" s="88">
        <f>IFERROR($F77/Overview!$D$32,0)</f>
        <v>0</v>
      </c>
      <c r="H77" s="107">
        <f>IFERROR($F77/Overview!$D$31,0)</f>
        <v>0</v>
      </c>
      <c r="I77" s="135">
        <f t="shared" si="6"/>
        <v>0</v>
      </c>
      <c r="J77" s="5"/>
      <c r="K77" s="119"/>
      <c r="L77" s="37"/>
      <c r="M77" s="44"/>
      <c r="N77" s="321"/>
      <c r="O77" s="38"/>
      <c r="P77" s="5"/>
      <c r="Q77" s="5"/>
      <c r="R77" s="5"/>
      <c r="S77" s="5"/>
      <c r="T77" s="5"/>
    </row>
    <row r="78" spans="2:20" x14ac:dyDescent="0.3">
      <c r="B78" s="45" t="s">
        <v>232</v>
      </c>
      <c r="C78" s="5"/>
      <c r="D78" s="5"/>
      <c r="E78" s="37"/>
      <c r="F78" s="229">
        <v>0</v>
      </c>
      <c r="G78" s="88">
        <f>IFERROR($F78/Overview!$D$32,0)</f>
        <v>0</v>
      </c>
      <c r="H78" s="107">
        <f>IFERROR($F78/Overview!$D$31,0)</f>
        <v>0</v>
      </c>
      <c r="I78" s="135">
        <f t="shared" si="6"/>
        <v>0</v>
      </c>
      <c r="J78" s="5"/>
      <c r="K78" s="54" t="s">
        <v>233</v>
      </c>
      <c r="L78" s="56"/>
      <c r="M78" s="57"/>
      <c r="N78" s="322"/>
      <c r="O78" s="58"/>
      <c r="P78" s="5"/>
      <c r="Q78" s="5"/>
      <c r="R78" s="5"/>
      <c r="S78" s="5"/>
      <c r="T78" s="5"/>
    </row>
    <row r="79" spans="2:20" x14ac:dyDescent="0.3">
      <c r="B79" s="45" t="s">
        <v>234</v>
      </c>
      <c r="C79" s="5"/>
      <c r="D79" s="5"/>
      <c r="E79" s="37"/>
      <c r="F79" s="229">
        <v>0</v>
      </c>
      <c r="G79" s="88">
        <f>IFERROR($F79/Overview!$D$32,0)</f>
        <v>0</v>
      </c>
      <c r="H79" s="107">
        <f>IFERROR($F79/Overview!$D$31,0)</f>
        <v>0</v>
      </c>
      <c r="I79" s="135">
        <f t="shared" si="6"/>
        <v>0</v>
      </c>
      <c r="J79" s="5"/>
      <c r="K79" s="33" t="s">
        <v>235</v>
      </c>
      <c r="L79" s="37"/>
      <c r="M79" s="448">
        <f ca="1">IFERROR(M$69*M$76,0)</f>
        <v>0</v>
      </c>
      <c r="N79" s="449">
        <f ca="1">IFERROR(N$69*N$76,0)</f>
        <v>0</v>
      </c>
      <c r="O79" s="450">
        <f ca="1">IFERROR(O$69*O$76,0)</f>
        <v>0</v>
      </c>
      <c r="P79" s="5"/>
      <c r="Q79" s="5"/>
      <c r="R79" s="5"/>
      <c r="S79" s="5"/>
      <c r="T79" s="5"/>
    </row>
    <row r="80" spans="2:20" x14ac:dyDescent="0.3">
      <c r="B80" s="45" t="s">
        <v>236</v>
      </c>
      <c r="C80" s="5"/>
      <c r="D80" s="5"/>
      <c r="E80" s="37"/>
      <c r="F80" s="229">
        <v>0</v>
      </c>
      <c r="G80" s="88">
        <f>IFERROR($F80/Overview!$D$32,0)</f>
        <v>0</v>
      </c>
      <c r="H80" s="107">
        <f>IFERROR($F80/Overview!$D$31,0)</f>
        <v>0</v>
      </c>
      <c r="I80" s="135">
        <f t="shared" si="6"/>
        <v>0</v>
      </c>
      <c r="J80" s="5"/>
      <c r="K80" s="328" t="s">
        <v>237</v>
      </c>
      <c r="L80" s="47"/>
      <c r="M80" s="451">
        <f ca="1">IFERROR(M$79/Overview!$D$32,0)</f>
        <v>0</v>
      </c>
      <c r="N80" s="452">
        <f ca="1">IFERROR(N$79/Overview!$D$32,0)</f>
        <v>0</v>
      </c>
      <c r="O80" s="453">
        <f ca="1">IFERROR(O$79/Overview!$D$32,0)</f>
        <v>0</v>
      </c>
      <c r="P80" s="5"/>
      <c r="Q80" s="5"/>
      <c r="R80" s="5"/>
      <c r="S80" s="5"/>
      <c r="T80" s="5"/>
    </row>
    <row r="81" spans="2:20" x14ac:dyDescent="0.3">
      <c r="B81" s="45" t="s">
        <v>238</v>
      </c>
      <c r="C81" s="5"/>
      <c r="D81" s="5"/>
      <c r="E81" s="37"/>
      <c r="F81" s="229">
        <v>0</v>
      </c>
      <c r="G81" s="88">
        <f>IFERROR($F81/Overview!$D$32,0)</f>
        <v>0</v>
      </c>
      <c r="H81" s="107">
        <f>IFERROR($F81/Overview!$D$31,0)</f>
        <v>0</v>
      </c>
      <c r="I81" s="135">
        <f t="shared" si="6"/>
        <v>0</v>
      </c>
      <c r="J81" s="5"/>
      <c r="K81" s="198"/>
      <c r="L81" s="199"/>
      <c r="M81" s="200"/>
      <c r="N81" s="327"/>
      <c r="O81" s="201"/>
      <c r="P81" s="5"/>
      <c r="Q81" s="5"/>
      <c r="R81" s="5"/>
      <c r="S81" s="5"/>
      <c r="T81" s="5"/>
    </row>
    <row r="82" spans="2:20" x14ac:dyDescent="0.3">
      <c r="B82" s="233" t="s">
        <v>239</v>
      </c>
      <c r="C82" s="234"/>
      <c r="D82" s="234"/>
      <c r="E82" s="212"/>
      <c r="F82" s="229">
        <v>0</v>
      </c>
      <c r="G82" s="88">
        <f>IFERROR($F82/Overview!$D$32,0)</f>
        <v>0</v>
      </c>
      <c r="H82" s="107">
        <f>IFERROR($F82/Overview!$D$31,0)</f>
        <v>0</v>
      </c>
      <c r="I82" s="135">
        <f t="shared" si="6"/>
        <v>0</v>
      </c>
      <c r="J82" s="5"/>
      <c r="K82" s="5"/>
      <c r="L82" s="5"/>
      <c r="M82" s="5"/>
      <c r="N82" s="5"/>
      <c r="O82" s="5"/>
      <c r="P82" s="5"/>
      <c r="Q82" s="5"/>
      <c r="R82" s="5"/>
      <c r="S82" s="5"/>
      <c r="T82" s="5"/>
    </row>
    <row r="83" spans="2:20" x14ac:dyDescent="0.3">
      <c r="B83" s="62" t="s">
        <v>240</v>
      </c>
      <c r="C83" s="53"/>
      <c r="D83" s="53"/>
      <c r="E83" s="51"/>
      <c r="F83" s="94">
        <f>SUM(F74:F82)</f>
        <v>0</v>
      </c>
      <c r="G83" s="94">
        <f>IFERROR($F83/Overview!$D$32,0)</f>
        <v>0</v>
      </c>
      <c r="H83" s="93">
        <f>IFERROR($F83/Overview!$D$31,0)</f>
        <v>0</v>
      </c>
      <c r="I83" s="138">
        <f t="shared" si="6"/>
        <v>0</v>
      </c>
      <c r="J83" s="5"/>
      <c r="K83" s="5"/>
      <c r="L83" s="5"/>
      <c r="M83" s="5"/>
      <c r="N83" s="5"/>
      <c r="O83" s="5"/>
      <c r="P83" s="5"/>
      <c r="Q83" s="5"/>
      <c r="R83" s="5"/>
      <c r="S83" s="5"/>
      <c r="T83" s="5"/>
    </row>
    <row r="84" spans="2:20" x14ac:dyDescent="0.3">
      <c r="B84" s="299"/>
      <c r="C84" s="64"/>
      <c r="D84" s="64"/>
      <c r="E84" s="65"/>
      <c r="F84" s="130"/>
      <c r="G84" s="130"/>
      <c r="H84" s="125"/>
      <c r="I84" s="139"/>
      <c r="J84" s="5"/>
      <c r="K84" s="5"/>
      <c r="L84" s="5"/>
      <c r="M84" s="5"/>
      <c r="N84" s="5"/>
      <c r="O84" s="5"/>
      <c r="P84" s="5"/>
      <c r="Q84" s="5"/>
      <c r="R84" s="5"/>
      <c r="S84" s="5"/>
      <c r="T84" s="5"/>
    </row>
    <row r="85" spans="2:20" x14ac:dyDescent="0.3">
      <c r="B85" s="63" t="s">
        <v>241</v>
      </c>
      <c r="C85" s="5"/>
      <c r="D85" s="5"/>
      <c r="E85" s="37"/>
      <c r="F85" s="88"/>
      <c r="G85" s="88"/>
      <c r="H85" s="107"/>
      <c r="I85" s="135"/>
      <c r="J85" s="5"/>
      <c r="K85" s="5"/>
      <c r="L85" s="5"/>
      <c r="M85" s="5"/>
      <c r="N85" s="5"/>
      <c r="O85" s="5"/>
      <c r="P85" s="5"/>
      <c r="Q85" s="5"/>
      <c r="R85" s="5"/>
      <c r="S85" s="5"/>
      <c r="T85" s="5"/>
    </row>
    <row r="86" spans="2:20" x14ac:dyDescent="0.3">
      <c r="B86" s="45" t="s">
        <v>242</v>
      </c>
      <c r="C86" s="5"/>
      <c r="D86" s="5"/>
      <c r="E86" s="37"/>
      <c r="F86" s="229">
        <v>0</v>
      </c>
      <c r="G86" s="88">
        <f>IFERROR($F86/Overview!$D$32,0)</f>
        <v>0</v>
      </c>
      <c r="H86" s="107">
        <f>IFERROR($F86/Overview!$D$31,0)</f>
        <v>0</v>
      </c>
      <c r="I86" s="135">
        <f t="shared" ref="I86:I93" si="7">IFERROR($F86/$F$118,0)</f>
        <v>0</v>
      </c>
      <c r="J86" s="5"/>
      <c r="K86" s="5"/>
      <c r="L86" s="5"/>
      <c r="M86" s="5"/>
      <c r="N86" s="5"/>
      <c r="O86" s="5"/>
      <c r="P86" s="5"/>
      <c r="Q86" s="5"/>
      <c r="R86" s="5"/>
      <c r="S86" s="5"/>
      <c r="T86" s="5"/>
    </row>
    <row r="87" spans="2:20" x14ac:dyDescent="0.3">
      <c r="B87" s="45" t="s">
        <v>243</v>
      </c>
      <c r="C87" s="5"/>
      <c r="D87" s="5"/>
      <c r="E87" s="37"/>
      <c r="F87" s="229">
        <v>0</v>
      </c>
      <c r="G87" s="88">
        <f>IFERROR($F87/Overview!$D$32,0)</f>
        <v>0</v>
      </c>
      <c r="H87" s="107">
        <f>IFERROR($F87/Overview!$D$31,0)</f>
        <v>0</v>
      </c>
      <c r="I87" s="135">
        <f t="shared" si="7"/>
        <v>0</v>
      </c>
      <c r="J87" s="5"/>
      <c r="K87" s="5"/>
      <c r="L87" s="5"/>
      <c r="M87" s="5"/>
      <c r="N87" s="5"/>
      <c r="O87" s="5"/>
      <c r="P87" s="5"/>
      <c r="Q87" s="5"/>
      <c r="R87" s="5"/>
      <c r="S87" s="5"/>
      <c r="T87" s="5"/>
    </row>
    <row r="88" spans="2:20" x14ac:dyDescent="0.3">
      <c r="B88" s="45" t="s">
        <v>244</v>
      </c>
      <c r="C88" s="5"/>
      <c r="D88" s="5"/>
      <c r="E88" s="37"/>
      <c r="F88" s="229">
        <v>0</v>
      </c>
      <c r="G88" s="88">
        <f>IFERROR($F88/Overview!$D$32,0)</f>
        <v>0</v>
      </c>
      <c r="H88" s="107">
        <f>IFERROR($F88/Overview!$D$31,0)</f>
        <v>0</v>
      </c>
      <c r="I88" s="135">
        <f t="shared" si="7"/>
        <v>0</v>
      </c>
      <c r="J88" s="5"/>
      <c r="K88" s="5"/>
      <c r="L88" s="5"/>
      <c r="M88" s="5"/>
      <c r="N88" s="5"/>
      <c r="O88" s="5"/>
      <c r="P88" s="5"/>
      <c r="Q88" s="5"/>
      <c r="R88" s="5"/>
      <c r="S88" s="5"/>
      <c r="T88" s="5"/>
    </row>
    <row r="89" spans="2:20" x14ac:dyDescent="0.3">
      <c r="B89" s="45" t="s">
        <v>245</v>
      </c>
      <c r="C89" s="5"/>
      <c r="D89" s="5"/>
      <c r="E89" s="37"/>
      <c r="F89" s="229">
        <v>0</v>
      </c>
      <c r="G89" s="88">
        <f>IFERROR($F89/Overview!$D$32,0)</f>
        <v>0</v>
      </c>
      <c r="H89" s="107">
        <f>IFERROR($F89/Overview!$D$31,0)</f>
        <v>0</v>
      </c>
      <c r="I89" s="135">
        <f t="shared" si="7"/>
        <v>0</v>
      </c>
      <c r="J89" s="5"/>
      <c r="K89" s="5"/>
      <c r="L89" s="5"/>
      <c r="M89" s="5"/>
      <c r="N89" s="5"/>
      <c r="O89" s="5"/>
      <c r="P89" s="5"/>
      <c r="Q89" s="5"/>
      <c r="R89" s="5"/>
      <c r="S89" s="5"/>
      <c r="T89" s="5"/>
    </row>
    <row r="90" spans="2:20" x14ac:dyDescent="0.3">
      <c r="B90" s="45" t="s">
        <v>246</v>
      </c>
      <c r="C90" s="5"/>
      <c r="D90" s="5"/>
      <c r="E90" s="37"/>
      <c r="F90" s="229">
        <v>0</v>
      </c>
      <c r="G90" s="88">
        <f>IFERROR($F90/Overview!$D$32,0)</f>
        <v>0</v>
      </c>
      <c r="H90" s="107">
        <f>IFERROR($F90/Overview!$D$31,0)</f>
        <v>0</v>
      </c>
      <c r="I90" s="135">
        <f t="shared" si="7"/>
        <v>0</v>
      </c>
      <c r="J90" s="5"/>
      <c r="K90" s="5"/>
      <c r="L90" s="5"/>
      <c r="M90" s="5"/>
      <c r="N90" s="5"/>
      <c r="O90" s="5"/>
      <c r="P90" s="5"/>
      <c r="Q90" s="5"/>
      <c r="R90" s="5"/>
      <c r="S90" s="5"/>
      <c r="T90" s="5"/>
    </row>
    <row r="91" spans="2:20" x14ac:dyDescent="0.3">
      <c r="B91" s="45" t="s">
        <v>247</v>
      </c>
      <c r="C91" s="5"/>
      <c r="D91" s="5"/>
      <c r="E91" s="37"/>
      <c r="F91" s="229">
        <v>0</v>
      </c>
      <c r="G91" s="88">
        <f>IFERROR($F91/Overview!$D$32,0)</f>
        <v>0</v>
      </c>
      <c r="H91" s="107">
        <f>IFERROR($F91/Overview!$D$31,0)</f>
        <v>0</v>
      </c>
      <c r="I91" s="135">
        <f t="shared" si="7"/>
        <v>0</v>
      </c>
      <c r="J91" s="5"/>
      <c r="K91" s="5"/>
      <c r="L91" s="5"/>
      <c r="M91" s="5"/>
      <c r="N91" s="5"/>
      <c r="O91" s="5"/>
      <c r="P91" s="5"/>
      <c r="Q91" s="5"/>
      <c r="R91" s="5"/>
      <c r="S91" s="5"/>
      <c r="T91" s="5"/>
    </row>
    <row r="92" spans="2:20" x14ac:dyDescent="0.3">
      <c r="B92" s="233" t="s">
        <v>239</v>
      </c>
      <c r="C92" s="234"/>
      <c r="D92" s="234"/>
      <c r="E92" s="212"/>
      <c r="F92" s="229">
        <v>0</v>
      </c>
      <c r="G92" s="88">
        <f>IFERROR($F92/Overview!$D$32,0)</f>
        <v>0</v>
      </c>
      <c r="H92" s="107">
        <f>IFERROR($F92/Overview!$D$31,0)</f>
        <v>0</v>
      </c>
      <c r="I92" s="135">
        <f t="shared" si="7"/>
        <v>0</v>
      </c>
      <c r="J92" s="5"/>
      <c r="K92" s="5"/>
      <c r="L92" s="5"/>
      <c r="M92" s="5"/>
      <c r="N92" s="5"/>
      <c r="O92" s="5"/>
      <c r="P92" s="5"/>
      <c r="Q92" s="5"/>
      <c r="R92" s="5"/>
      <c r="S92" s="5"/>
      <c r="T92" s="5"/>
    </row>
    <row r="93" spans="2:20" x14ac:dyDescent="0.3">
      <c r="B93" s="62" t="s">
        <v>248</v>
      </c>
      <c r="C93" s="53"/>
      <c r="D93" s="53"/>
      <c r="E93" s="51"/>
      <c r="F93" s="94">
        <f>SUM(F86:F92)</f>
        <v>0</v>
      </c>
      <c r="G93" s="94">
        <f>IFERROR($F93/Overview!$D$32,0)</f>
        <v>0</v>
      </c>
      <c r="H93" s="93">
        <f>IFERROR($F93/Overview!$D$31,0)</f>
        <v>0</v>
      </c>
      <c r="I93" s="138">
        <f t="shared" si="7"/>
        <v>0</v>
      </c>
    </row>
    <row r="94" spans="2:20" x14ac:dyDescent="0.3">
      <c r="B94" s="299"/>
      <c r="C94" s="64"/>
      <c r="D94" s="64"/>
      <c r="E94" s="65"/>
      <c r="F94" s="130"/>
      <c r="G94" s="130"/>
      <c r="H94" s="125"/>
      <c r="I94" s="139"/>
    </row>
    <row r="95" spans="2:20" x14ac:dyDescent="0.3">
      <c r="B95" s="63" t="s">
        <v>249</v>
      </c>
      <c r="C95" s="5"/>
      <c r="D95" s="5"/>
      <c r="E95" s="37"/>
      <c r="F95" s="88"/>
      <c r="G95" s="88"/>
      <c r="H95" s="107"/>
      <c r="I95" s="135"/>
    </row>
    <row r="96" spans="2:20" x14ac:dyDescent="0.3">
      <c r="B96" s="45" t="s">
        <v>250</v>
      </c>
      <c r="C96" s="5"/>
      <c r="D96" s="5"/>
      <c r="E96" s="37"/>
      <c r="F96" s="229">
        <v>0</v>
      </c>
      <c r="G96" s="88">
        <f>IFERROR($F96/Overview!$D$32,0)</f>
        <v>0</v>
      </c>
      <c r="H96" s="107">
        <f>IFERROR($F96/Overview!$D$31,0)</f>
        <v>0</v>
      </c>
      <c r="I96" s="135">
        <f t="shared" ref="I96:I105" si="8">IFERROR($F96/$F$118,0)</f>
        <v>0</v>
      </c>
    </row>
    <row r="97" spans="2:9" x14ac:dyDescent="0.3">
      <c r="B97" s="45" t="s">
        <v>251</v>
      </c>
      <c r="C97" s="5"/>
      <c r="D97" s="5"/>
      <c r="E97" s="37"/>
      <c r="F97" s="229">
        <v>0</v>
      </c>
      <c r="G97" s="88">
        <f>IFERROR($F97/Overview!$D$32,0)</f>
        <v>0</v>
      </c>
      <c r="H97" s="107">
        <f>IFERROR($F97/Overview!$D$31,0)</f>
        <v>0</v>
      </c>
      <c r="I97" s="135">
        <f t="shared" si="8"/>
        <v>0</v>
      </c>
    </row>
    <row r="98" spans="2:9" x14ac:dyDescent="0.3">
      <c r="B98" s="45" t="s">
        <v>252</v>
      </c>
      <c r="C98" s="5"/>
      <c r="D98" s="5"/>
      <c r="E98" s="37"/>
      <c r="F98" s="229">
        <v>0</v>
      </c>
      <c r="G98" s="88">
        <f>IFERROR($F98/Overview!$D$32,0)</f>
        <v>0</v>
      </c>
      <c r="H98" s="107">
        <f>IFERROR($F98/Overview!$D$31,0)</f>
        <v>0</v>
      </c>
      <c r="I98" s="135">
        <f t="shared" si="8"/>
        <v>0</v>
      </c>
    </row>
    <row r="99" spans="2:9" x14ac:dyDescent="0.3">
      <c r="B99" s="45" t="s">
        <v>253</v>
      </c>
      <c r="C99" s="5"/>
      <c r="D99" s="5"/>
      <c r="E99" s="37"/>
      <c r="F99" s="229">
        <v>0</v>
      </c>
      <c r="G99" s="88">
        <f>IFERROR($F99/Overview!$D$32,0)</f>
        <v>0</v>
      </c>
      <c r="H99" s="107">
        <f>IFERROR($F99/Overview!$D$31,0)</f>
        <v>0</v>
      </c>
      <c r="I99" s="135">
        <f t="shared" si="8"/>
        <v>0</v>
      </c>
    </row>
    <row r="100" spans="2:9" x14ac:dyDescent="0.3">
      <c r="B100" s="45" t="s">
        <v>254</v>
      </c>
      <c r="C100" s="5"/>
      <c r="D100" s="5"/>
      <c r="E100" s="37"/>
      <c r="F100" s="229">
        <v>0</v>
      </c>
      <c r="G100" s="88">
        <f>IFERROR($F100/Overview!$D$32,0)</f>
        <v>0</v>
      </c>
      <c r="H100" s="107">
        <f>IFERROR($F100/Overview!$D$31,0)</f>
        <v>0</v>
      </c>
      <c r="I100" s="135">
        <f t="shared" si="8"/>
        <v>0</v>
      </c>
    </row>
    <row r="101" spans="2:9" x14ac:dyDescent="0.3">
      <c r="B101" s="45" t="s">
        <v>255</v>
      </c>
      <c r="C101" s="5"/>
      <c r="D101" s="5"/>
      <c r="E101" s="37"/>
      <c r="F101" s="229">
        <v>0</v>
      </c>
      <c r="G101" s="88">
        <f>IFERROR($F101/Overview!$D$32,0)</f>
        <v>0</v>
      </c>
      <c r="H101" s="107">
        <f>IFERROR($F101/Overview!$D$31,0)</f>
        <v>0</v>
      </c>
      <c r="I101" s="135">
        <f t="shared" si="8"/>
        <v>0</v>
      </c>
    </row>
    <row r="102" spans="2:9" x14ac:dyDescent="0.3">
      <c r="B102" s="45" t="s">
        <v>256</v>
      </c>
      <c r="C102" s="5"/>
      <c r="D102" s="5"/>
      <c r="E102" s="37"/>
      <c r="F102" s="229">
        <v>0</v>
      </c>
      <c r="G102" s="88">
        <f>IFERROR($F102/Overview!$D$32,0)</f>
        <v>0</v>
      </c>
      <c r="H102" s="107">
        <f>IFERROR($F102/Overview!$D$31,0)</f>
        <v>0</v>
      </c>
      <c r="I102" s="135">
        <f t="shared" si="8"/>
        <v>0</v>
      </c>
    </row>
    <row r="103" spans="2:9" x14ac:dyDescent="0.3">
      <c r="B103" s="233" t="s">
        <v>257</v>
      </c>
      <c r="C103" s="234"/>
      <c r="D103" s="234"/>
      <c r="E103" s="212"/>
      <c r="F103" s="229">
        <v>0</v>
      </c>
      <c r="G103" s="88">
        <f>IFERROR($F103/Overview!$D$32,0)</f>
        <v>0</v>
      </c>
      <c r="H103" s="107">
        <f>IFERROR($F103/Overview!$D$31,0)</f>
        <v>0</v>
      </c>
      <c r="I103" s="135">
        <f t="shared" si="8"/>
        <v>0</v>
      </c>
    </row>
    <row r="104" spans="2:9" x14ac:dyDescent="0.3">
      <c r="B104" s="233" t="s">
        <v>257</v>
      </c>
      <c r="C104" s="234"/>
      <c r="D104" s="234"/>
      <c r="E104" s="212"/>
      <c r="F104" s="229">
        <v>0</v>
      </c>
      <c r="G104" s="88">
        <f>IFERROR($F104/Overview!$D$32,0)</f>
        <v>0</v>
      </c>
      <c r="H104" s="107">
        <f>IFERROR($F104/Overview!$D$31,0)</f>
        <v>0</v>
      </c>
      <c r="I104" s="135">
        <f t="shared" si="8"/>
        <v>0</v>
      </c>
    </row>
    <row r="105" spans="2:9" x14ac:dyDescent="0.3">
      <c r="B105" s="62" t="s">
        <v>258</v>
      </c>
      <c r="C105" s="53"/>
      <c r="D105" s="53"/>
      <c r="E105" s="51"/>
      <c r="F105" s="94">
        <f>SUM(F96:F104)</f>
        <v>0</v>
      </c>
      <c r="G105" s="94">
        <f>IFERROR($F105/Overview!$D$32,0)</f>
        <v>0</v>
      </c>
      <c r="H105" s="93">
        <f>IFERROR($F105/Overview!$D$31,0)</f>
        <v>0</v>
      </c>
      <c r="I105" s="138">
        <f t="shared" si="8"/>
        <v>0</v>
      </c>
    </row>
    <row r="106" spans="2:9" x14ac:dyDescent="0.3">
      <c r="B106" s="33"/>
      <c r="C106" s="5"/>
      <c r="D106" s="5"/>
      <c r="E106" s="37"/>
      <c r="F106" s="88"/>
      <c r="G106" s="88"/>
      <c r="H106" s="107"/>
      <c r="I106" s="135"/>
    </row>
    <row r="107" spans="2:9" x14ac:dyDescent="0.3">
      <c r="B107" s="63" t="s">
        <v>259</v>
      </c>
      <c r="C107" s="5"/>
      <c r="D107" s="5"/>
      <c r="E107" s="37"/>
      <c r="F107" s="88"/>
      <c r="G107" s="88"/>
      <c r="H107" s="107"/>
      <c r="I107" s="135"/>
    </row>
    <row r="108" spans="2:9" x14ac:dyDescent="0.3">
      <c r="B108" s="45" t="s">
        <v>260</v>
      </c>
      <c r="C108" s="5"/>
      <c r="D108" s="5"/>
      <c r="E108" s="37"/>
      <c r="F108" s="229">
        <v>0</v>
      </c>
      <c r="G108" s="88">
        <f>IFERROR($F108/Overview!$D$32,0)</f>
        <v>0</v>
      </c>
      <c r="H108" s="107">
        <f>IFERROR($F108/Overview!$D$31,0)</f>
        <v>0</v>
      </c>
      <c r="I108" s="135">
        <f>IFERROR($F108/$F$118,0)</f>
        <v>0</v>
      </c>
    </row>
    <row r="109" spans="2:9" x14ac:dyDescent="0.3">
      <c r="B109" s="233" t="s">
        <v>261</v>
      </c>
      <c r="C109" s="234"/>
      <c r="D109" s="234"/>
      <c r="E109" s="212"/>
      <c r="F109" s="229">
        <v>0</v>
      </c>
      <c r="G109" s="88">
        <f>IFERROR($F109/Overview!$D$32,0)</f>
        <v>0</v>
      </c>
      <c r="H109" s="107">
        <f>IFERROR($F109/Overview!$D$31,0)</f>
        <v>0</v>
      </c>
      <c r="I109" s="135">
        <f>IFERROR($F109/$F$118,0)</f>
        <v>0</v>
      </c>
    </row>
    <row r="110" spans="2:9" x14ac:dyDescent="0.3">
      <c r="B110" s="233" t="s">
        <v>262</v>
      </c>
      <c r="C110" s="234"/>
      <c r="D110" s="234"/>
      <c r="E110" s="212"/>
      <c r="F110" s="229">
        <v>0</v>
      </c>
      <c r="G110" s="88">
        <f>IFERROR($F110/Overview!$D$32,0)</f>
        <v>0</v>
      </c>
      <c r="H110" s="107">
        <f>IFERROR($F110/Overview!$D$31,0)</f>
        <v>0</v>
      </c>
      <c r="I110" s="135">
        <f>IFERROR($F110/$F$118,0)</f>
        <v>0</v>
      </c>
    </row>
    <row r="111" spans="2:9" x14ac:dyDescent="0.3">
      <c r="B111" s="233" t="s">
        <v>262</v>
      </c>
      <c r="C111" s="234"/>
      <c r="D111" s="234"/>
      <c r="E111" s="212"/>
      <c r="F111" s="229">
        <v>0</v>
      </c>
      <c r="G111" s="88">
        <f>IFERROR($F111/Overview!$D$32,0)</f>
        <v>0</v>
      </c>
      <c r="H111" s="107">
        <f>IFERROR($F111/Overview!$D$31,0)</f>
        <v>0</v>
      </c>
      <c r="I111" s="135">
        <f>IFERROR($F111/$F$118,0)</f>
        <v>0</v>
      </c>
    </row>
    <row r="112" spans="2:9" x14ac:dyDescent="0.3">
      <c r="B112" s="62" t="s">
        <v>263</v>
      </c>
      <c r="C112" s="53"/>
      <c r="D112" s="53"/>
      <c r="E112" s="51"/>
      <c r="F112" s="94">
        <f>SUM(F108:F111)</f>
        <v>0</v>
      </c>
      <c r="G112" s="94">
        <f>IFERROR($F112/Overview!$D$32,0)</f>
        <v>0</v>
      </c>
      <c r="H112" s="93">
        <f>IFERROR($F112/Overview!$D$31,0)</f>
        <v>0</v>
      </c>
      <c r="I112" s="138">
        <f>IFERROR($F112/$F$118,0)</f>
        <v>0</v>
      </c>
    </row>
    <row r="113" spans="2:9" x14ac:dyDescent="0.3">
      <c r="B113" s="299"/>
      <c r="C113" s="64"/>
      <c r="D113" s="64"/>
      <c r="E113" s="65"/>
      <c r="F113" s="130"/>
      <c r="G113" s="130"/>
      <c r="H113" s="125"/>
      <c r="I113" s="139"/>
    </row>
    <row r="114" spans="2:9" x14ac:dyDescent="0.3">
      <c r="B114" s="63" t="s">
        <v>264</v>
      </c>
      <c r="C114" s="64"/>
      <c r="D114" s="64"/>
      <c r="E114" s="65"/>
      <c r="F114" s="232">
        <v>0</v>
      </c>
      <c r="G114" s="130">
        <f>IFERROR($F114/Overview!$D$32,0)</f>
        <v>0</v>
      </c>
      <c r="H114" s="125">
        <f>IFERROR($F114/Overview!$D$31,0)</f>
        <v>0</v>
      </c>
      <c r="I114" s="139">
        <f>IFERROR($F114/$F$118,0)</f>
        <v>0</v>
      </c>
    </row>
    <row r="115" spans="2:9" x14ac:dyDescent="0.3">
      <c r="B115" s="33"/>
      <c r="C115" s="5"/>
      <c r="D115" s="5"/>
      <c r="E115" s="37"/>
      <c r="F115" s="88"/>
      <c r="G115" s="88"/>
      <c r="H115" s="107"/>
      <c r="I115" s="135"/>
    </row>
    <row r="116" spans="2:9" x14ac:dyDescent="0.3">
      <c r="B116" s="66" t="s">
        <v>265</v>
      </c>
      <c r="C116" s="60"/>
      <c r="D116" s="60"/>
      <c r="E116" s="61"/>
      <c r="F116" s="129">
        <f>SUM(F57,F66,F71,F83,F93,F105,F112,F114)</f>
        <v>0</v>
      </c>
      <c r="G116" s="129" t="e">
        <f>$F116/Overview!$D$32</f>
        <v>#DIV/0!</v>
      </c>
      <c r="H116" s="124" t="e">
        <f>$F116/Overview!$D$31</f>
        <v>#DIV/0!</v>
      </c>
      <c r="I116" s="136" t="e">
        <f>$F116/$F$118</f>
        <v>#DIV/0!</v>
      </c>
    </row>
    <row r="117" spans="2:9" x14ac:dyDescent="0.3">
      <c r="B117" s="33"/>
      <c r="C117" s="5"/>
      <c r="D117" s="5"/>
      <c r="E117" s="37"/>
      <c r="F117" s="88"/>
      <c r="G117" s="88"/>
      <c r="H117" s="107"/>
      <c r="I117" s="135"/>
    </row>
    <row r="118" spans="2:9" x14ac:dyDescent="0.3">
      <c r="B118" s="67" t="s">
        <v>266</v>
      </c>
      <c r="C118" s="42"/>
      <c r="D118" s="42"/>
      <c r="E118" s="68"/>
      <c r="F118" s="131">
        <f>SUM(F116,F46,F21)</f>
        <v>0</v>
      </c>
      <c r="G118" s="131" t="e">
        <f>$F118/Overview!$D$32</f>
        <v>#DIV/0!</v>
      </c>
      <c r="H118" s="126" t="e">
        <f>$F118/Overview!$D$31</f>
        <v>#DIV/0!</v>
      </c>
      <c r="I118" s="140" t="e">
        <f>$F118/$F$118</f>
        <v>#DIV/0!</v>
      </c>
    </row>
    <row r="119" spans="2:9" x14ac:dyDescent="0.3">
      <c r="B119" s="34"/>
      <c r="C119" s="35"/>
      <c r="D119" s="35"/>
      <c r="E119" s="39"/>
      <c r="F119" s="132"/>
      <c r="G119" s="132"/>
      <c r="H119" s="127"/>
      <c r="I119" s="141"/>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sheetProtection algorithmName="SHA-512" hashValue="M3eHI3ClTOINXUMBe1SChhnr2Nl27IXQpdP/XWdwM7lrKNq5JvKipPLnd5dB/7tjwNUY1CWg6qzJY9P6o4NtIg==" saltValue="dFDJLXnfX0Z9EhNrQdFR/Q==" spinCount="100000" sheet="1"/>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130" zoomScaleNormal="130" workbookViewId="0"/>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267</v>
      </c>
    </row>
    <row r="3" spans="2:49" s="5" customFormat="1" ht="15" customHeight="1" thickBot="1" x14ac:dyDescent="0.35"/>
    <row r="4" spans="2:49" s="5" customFormat="1" ht="15" customHeight="1" x14ac:dyDescent="0.3">
      <c r="B4" s="457" t="s">
        <v>268</v>
      </c>
      <c r="C4" s="458"/>
      <c r="D4" s="458"/>
      <c r="E4" s="458"/>
      <c r="F4" s="458"/>
      <c r="G4" s="459"/>
      <c r="H4"/>
      <c r="I4"/>
      <c r="J4"/>
      <c r="K4"/>
      <c r="L4"/>
    </row>
    <row r="5" spans="2:49" s="5" customFormat="1" ht="15" customHeight="1" x14ac:dyDescent="0.3">
      <c r="B5" s="460"/>
      <c r="C5" s="461"/>
      <c r="D5" s="461"/>
      <c r="E5" s="461"/>
      <c r="F5" s="461"/>
      <c r="G5" s="462"/>
      <c r="H5"/>
      <c r="I5"/>
      <c r="J5"/>
      <c r="K5"/>
      <c r="L5"/>
    </row>
    <row r="6" spans="2:49" s="5" customFormat="1" ht="15" customHeight="1" x14ac:dyDescent="0.3">
      <c r="B6" s="460"/>
      <c r="C6" s="461"/>
      <c r="D6" s="461"/>
      <c r="E6" s="461"/>
      <c r="F6" s="461"/>
      <c r="G6" s="462"/>
      <c r="H6"/>
      <c r="I6"/>
      <c r="J6"/>
      <c r="K6"/>
      <c r="L6"/>
    </row>
    <row r="7" spans="2:49" s="5" customFormat="1" ht="15" customHeight="1" x14ac:dyDescent="0.3">
      <c r="B7" s="460"/>
      <c r="C7" s="461"/>
      <c r="D7" s="461"/>
      <c r="E7" s="461"/>
      <c r="F7" s="461"/>
      <c r="G7" s="462"/>
      <c r="H7"/>
      <c r="I7"/>
      <c r="J7"/>
      <c r="K7"/>
      <c r="L7"/>
    </row>
    <row r="8" spans="2:49" s="5" customFormat="1" ht="15" customHeight="1" x14ac:dyDescent="0.3">
      <c r="B8" s="460"/>
      <c r="C8" s="461"/>
      <c r="D8" s="461"/>
      <c r="E8" s="461"/>
      <c r="F8" s="461"/>
      <c r="G8" s="462"/>
      <c r="H8"/>
      <c r="I8"/>
      <c r="J8"/>
      <c r="K8"/>
      <c r="L8"/>
    </row>
    <row r="9" spans="2:49" s="5" customFormat="1" ht="15" customHeight="1" thickBot="1" x14ac:dyDescent="0.35">
      <c r="B9" s="463"/>
      <c r="C9" s="464"/>
      <c r="D9" s="464"/>
      <c r="E9" s="464"/>
      <c r="F9" s="464"/>
      <c r="G9" s="465"/>
      <c r="H9"/>
      <c r="I9"/>
      <c r="J9"/>
      <c r="K9"/>
      <c r="L9"/>
    </row>
    <row r="10" spans="2:49" s="5" customFormat="1" ht="15" customHeight="1" x14ac:dyDescent="0.3">
      <c r="B10" s="69"/>
    </row>
    <row r="11" spans="2:49" s="5" customFormat="1" ht="15" customHeight="1" x14ac:dyDescent="0.3">
      <c r="B11" s="70" t="s">
        <v>3</v>
      </c>
      <c r="C11" s="221" t="s">
        <v>4</v>
      </c>
      <c r="D11" s="71" t="s">
        <v>5</v>
      </c>
      <c r="E11" s="72" t="s">
        <v>6</v>
      </c>
    </row>
    <row r="14" spans="2:49" x14ac:dyDescent="0.3">
      <c r="B14" s="41" t="s">
        <v>143</v>
      </c>
      <c r="C14" s="42"/>
      <c r="D14" s="42"/>
      <c r="E14" s="42"/>
      <c r="F14" s="42"/>
      <c r="G14" s="42"/>
      <c r="H14" s="42"/>
      <c r="I14" s="43"/>
      <c r="J14" s="5"/>
      <c r="K14" s="41" t="s">
        <v>27</v>
      </c>
      <c r="L14" s="42"/>
      <c r="M14" s="42"/>
      <c r="N14" s="42"/>
      <c r="O14" s="42"/>
      <c r="P14" s="42"/>
      <c r="Q14" s="42"/>
      <c r="R14" s="42"/>
      <c r="S14" s="43"/>
      <c r="T14" s="5"/>
      <c r="U14" s="41" t="s">
        <v>269</v>
      </c>
      <c r="V14" s="42"/>
      <c r="W14" s="42"/>
      <c r="X14" s="42"/>
      <c r="Y14" s="42"/>
      <c r="Z14" s="42"/>
      <c r="AA14" s="43"/>
      <c r="AB14" s="5"/>
      <c r="AC14" s="41" t="s">
        <v>270</v>
      </c>
      <c r="AD14" s="42"/>
      <c r="AE14" s="42"/>
      <c r="AF14" s="42"/>
      <c r="AG14" s="42"/>
      <c r="AH14" s="42"/>
      <c r="AI14" s="42"/>
      <c r="AJ14" s="42"/>
      <c r="AK14" s="42"/>
      <c r="AL14" s="42"/>
      <c r="AM14" s="42"/>
      <c r="AN14" s="42"/>
      <c r="AO14" s="42"/>
      <c r="AP14" s="42"/>
      <c r="AQ14" s="42"/>
      <c r="AR14" s="42"/>
      <c r="AS14" s="42"/>
      <c r="AT14" s="42"/>
      <c r="AU14" s="42"/>
      <c r="AV14" s="42"/>
      <c r="AW14" s="43"/>
    </row>
    <row r="15" spans="2:49" ht="27.6" x14ac:dyDescent="0.3">
      <c r="B15" s="515" t="s">
        <v>29</v>
      </c>
      <c r="C15" s="515"/>
      <c r="D15" s="515"/>
      <c r="E15" s="515"/>
      <c r="F15" s="442" t="s">
        <v>31</v>
      </c>
      <c r="G15" s="442" t="s">
        <v>32</v>
      </c>
      <c r="H15" s="442" t="s">
        <v>144</v>
      </c>
      <c r="I15" s="442" t="s">
        <v>33</v>
      </c>
      <c r="J15" s="5"/>
      <c r="K15" s="480" t="s">
        <v>29</v>
      </c>
      <c r="L15" s="516"/>
      <c r="M15" s="480" t="s">
        <v>271</v>
      </c>
      <c r="N15" s="516"/>
      <c r="O15" s="481"/>
      <c r="P15" s="436" t="s">
        <v>31</v>
      </c>
      <c r="Q15" s="442" t="s">
        <v>32</v>
      </c>
      <c r="R15" s="442" t="s">
        <v>144</v>
      </c>
      <c r="S15" s="442" t="s">
        <v>33</v>
      </c>
      <c r="T15" s="5"/>
      <c r="U15" s="480" t="s">
        <v>29</v>
      </c>
      <c r="V15" s="516"/>
      <c r="W15" s="481"/>
      <c r="X15" s="442" t="s">
        <v>31</v>
      </c>
      <c r="Y15" s="442" t="s">
        <v>32</v>
      </c>
      <c r="Z15" s="442" t="s">
        <v>144</v>
      </c>
      <c r="AA15" s="442" t="s">
        <v>33</v>
      </c>
      <c r="AB15" s="5"/>
      <c r="AC15" s="515" t="s">
        <v>29</v>
      </c>
      <c r="AD15" s="515"/>
      <c r="AE15" s="515"/>
      <c r="AF15" s="442" t="s">
        <v>272</v>
      </c>
      <c r="AG15" s="442" t="s">
        <v>273</v>
      </c>
      <c r="AH15" s="440" t="s">
        <v>274</v>
      </c>
      <c r="AI15" s="255">
        <v>1</v>
      </c>
      <c r="AJ15" s="255">
        <f t="shared" ref="AJ15:AW15" si="0">AI15+1</f>
        <v>2</v>
      </c>
      <c r="AK15" s="255">
        <f t="shared" si="0"/>
        <v>3</v>
      </c>
      <c r="AL15" s="255">
        <f t="shared" si="0"/>
        <v>4</v>
      </c>
      <c r="AM15" s="255">
        <f t="shared" si="0"/>
        <v>5</v>
      </c>
      <c r="AN15" s="255">
        <f t="shared" si="0"/>
        <v>6</v>
      </c>
      <c r="AO15" s="255">
        <f t="shared" si="0"/>
        <v>7</v>
      </c>
      <c r="AP15" s="255">
        <f t="shared" si="0"/>
        <v>8</v>
      </c>
      <c r="AQ15" s="255">
        <f t="shared" si="0"/>
        <v>9</v>
      </c>
      <c r="AR15" s="255">
        <f t="shared" si="0"/>
        <v>10</v>
      </c>
      <c r="AS15" s="255">
        <f t="shared" si="0"/>
        <v>11</v>
      </c>
      <c r="AT15" s="255">
        <f t="shared" si="0"/>
        <v>12</v>
      </c>
      <c r="AU15" s="255">
        <f t="shared" si="0"/>
        <v>13</v>
      </c>
      <c r="AV15" s="255">
        <f t="shared" si="0"/>
        <v>14</v>
      </c>
      <c r="AW15" s="255">
        <f t="shared" si="0"/>
        <v>15</v>
      </c>
    </row>
    <row r="16" spans="2:49" x14ac:dyDescent="0.3">
      <c r="B16" s="54" t="s">
        <v>77</v>
      </c>
      <c r="C16" s="55"/>
      <c r="D16" s="55"/>
      <c r="E16" s="56"/>
      <c r="F16" s="128"/>
      <c r="G16" s="128"/>
      <c r="H16" s="133"/>
      <c r="I16" s="134"/>
      <c r="J16" s="5"/>
      <c r="K16" s="151" t="s">
        <v>145</v>
      </c>
      <c r="L16" s="152"/>
      <c r="M16" s="153" t="s">
        <v>275</v>
      </c>
      <c r="N16" s="146" t="s">
        <v>276</v>
      </c>
      <c r="O16" s="154" t="s">
        <v>277</v>
      </c>
      <c r="P16" s="157"/>
      <c r="Q16" s="158"/>
      <c r="R16" s="133"/>
      <c r="S16" s="161"/>
      <c r="T16" s="5"/>
      <c r="U16" s="151" t="s">
        <v>278</v>
      </c>
      <c r="V16" s="152"/>
      <c r="W16" s="145"/>
      <c r="X16" s="158"/>
      <c r="Y16" s="158"/>
      <c r="Z16" s="133"/>
      <c r="AA16" s="174"/>
      <c r="AB16" s="5"/>
      <c r="AC16" s="151" t="str">
        <f t="shared" ref="AC16:AC54" si="1">IF(U16=0,"",U16)</f>
        <v>Revenue</v>
      </c>
      <c r="AD16" s="152"/>
      <c r="AE16" s="152"/>
      <c r="AF16" s="147"/>
      <c r="AG16" s="147"/>
      <c r="AH16" s="147"/>
      <c r="AI16" s="147"/>
      <c r="AJ16" s="147"/>
      <c r="AK16" s="147"/>
      <c r="AL16" s="147"/>
      <c r="AM16" s="147"/>
      <c r="AN16" s="147"/>
      <c r="AO16" s="147"/>
      <c r="AP16" s="147"/>
      <c r="AQ16" s="147"/>
      <c r="AR16" s="147"/>
      <c r="AS16" s="147"/>
      <c r="AT16" s="147"/>
      <c r="AU16" s="147"/>
      <c r="AV16" s="147"/>
      <c r="AW16" s="148"/>
    </row>
    <row r="17" spans="2:49" x14ac:dyDescent="0.3">
      <c r="B17" s="33" t="s">
        <v>146</v>
      </c>
      <c r="C17" s="5"/>
      <c r="D17" s="5"/>
      <c r="E17" s="37"/>
      <c r="F17" s="229">
        <v>0</v>
      </c>
      <c r="G17" s="88">
        <f>IFERROR($F17/Overview!$D$32,0)</f>
        <v>0</v>
      </c>
      <c r="H17" s="107">
        <f>IFERROR($F17/Overview!$D$31,0)</f>
        <v>0</v>
      </c>
      <c r="I17" s="135">
        <f>IFERROR($F17/$F$117,0)</f>
        <v>0</v>
      </c>
      <c r="J17" s="5"/>
      <c r="K17" s="211" t="s">
        <v>147</v>
      </c>
      <c r="L17" s="235"/>
      <c r="M17" s="237" t="s">
        <v>131</v>
      </c>
      <c r="N17" s="238" t="s">
        <v>131</v>
      </c>
      <c r="O17" s="239" t="s">
        <v>131</v>
      </c>
      <c r="P17" s="240">
        <v>0</v>
      </c>
      <c r="Q17" s="88">
        <f>IFERROR($P17/Overview!$D$32,0)</f>
        <v>0</v>
      </c>
      <c r="R17" s="107">
        <f>IFERROR($P17/Overview!$D$31,0)</f>
        <v>0</v>
      </c>
      <c r="S17" s="135">
        <f>IFERROR($P17/$P$58,0)</f>
        <v>0</v>
      </c>
      <c r="T17" s="5"/>
      <c r="U17" s="33" t="s">
        <v>279</v>
      </c>
      <c r="V17" s="5"/>
      <c r="W17" s="37"/>
      <c r="X17" s="88">
        <f ca="1">'Rent Roll'!$AE$124</f>
        <v>0</v>
      </c>
      <c r="Y17" s="88">
        <f ca="1">IFERROR($X17/Overview!$D$32,0)</f>
        <v>0</v>
      </c>
      <c r="Z17" s="107">
        <f ca="1">IFERROR($X17/Overview!$D$31,0)</f>
        <v>0</v>
      </c>
      <c r="AA17" s="135">
        <f ca="1">IFERROR($X17/$X$20,0)</f>
        <v>0</v>
      </c>
      <c r="AB17" s="5"/>
      <c r="AC17" s="33" t="str">
        <f t="shared" si="1"/>
        <v>Assumed Annual Residential Revenue</v>
      </c>
      <c r="AD17" s="5"/>
      <c r="AE17" s="5"/>
      <c r="AF17" s="256">
        <v>0</v>
      </c>
      <c r="AG17" s="256">
        <v>0</v>
      </c>
      <c r="AH17" s="294"/>
      <c r="AI17" s="88">
        <f ca="1">X17</f>
        <v>0</v>
      </c>
      <c r="AJ17" s="88">
        <f ca="1">IF(AJ$15&lt;$AH17,AI17*(1+$AF17),AI17*(1+$AG17))</f>
        <v>0</v>
      </c>
      <c r="AK17" s="88">
        <f t="shared" ref="AK17:AW17" ca="1" si="2">IF(AK$15&lt;$AH17,AJ17*(1+$AF17),AJ17*(1+$AG17))</f>
        <v>0</v>
      </c>
      <c r="AL17" s="88">
        <f t="shared" ca="1" si="2"/>
        <v>0</v>
      </c>
      <c r="AM17" s="88">
        <f t="shared" ca="1" si="2"/>
        <v>0</v>
      </c>
      <c r="AN17" s="88">
        <f t="shared" ca="1" si="2"/>
        <v>0</v>
      </c>
      <c r="AO17" s="88">
        <f t="shared" ca="1" si="2"/>
        <v>0</v>
      </c>
      <c r="AP17" s="88">
        <f t="shared" ca="1" si="2"/>
        <v>0</v>
      </c>
      <c r="AQ17" s="88">
        <f t="shared" ca="1" si="2"/>
        <v>0</v>
      </c>
      <c r="AR17" s="88">
        <f t="shared" ca="1" si="2"/>
        <v>0</v>
      </c>
      <c r="AS17" s="88">
        <f t="shared" ca="1" si="2"/>
        <v>0</v>
      </c>
      <c r="AT17" s="88">
        <f t="shared" ca="1" si="2"/>
        <v>0</v>
      </c>
      <c r="AU17" s="88">
        <f t="shared" ca="1" si="2"/>
        <v>0</v>
      </c>
      <c r="AV17" s="88">
        <f t="shared" ca="1" si="2"/>
        <v>0</v>
      </c>
      <c r="AW17" s="103">
        <f t="shared" ca="1" si="2"/>
        <v>0</v>
      </c>
    </row>
    <row r="18" spans="2:49" x14ac:dyDescent="0.3">
      <c r="B18" s="33" t="s">
        <v>148</v>
      </c>
      <c r="C18" s="5"/>
      <c r="D18" s="5"/>
      <c r="E18" s="37"/>
      <c r="F18" s="229">
        <v>0</v>
      </c>
      <c r="G18" s="88">
        <f>IFERROR($F18/Overview!$D$32,0)</f>
        <v>0</v>
      </c>
      <c r="H18" s="107">
        <f>IFERROR($F18/Overview!$D$31,0)</f>
        <v>0</v>
      </c>
      <c r="I18" s="135">
        <f>IFERROR($F18/$F$117,0)</f>
        <v>0</v>
      </c>
      <c r="J18" s="5"/>
      <c r="K18" s="211" t="s">
        <v>149</v>
      </c>
      <c r="L18" s="236"/>
      <c r="M18" s="237" t="s">
        <v>131</v>
      </c>
      <c r="N18" s="238" t="s">
        <v>131</v>
      </c>
      <c r="O18" s="239" t="s">
        <v>131</v>
      </c>
      <c r="P18" s="240">
        <v>0</v>
      </c>
      <c r="Q18" s="88">
        <f>IFERROR($P18/Overview!$D$32,0)</f>
        <v>0</v>
      </c>
      <c r="R18" s="107">
        <f>IFERROR($P18/Overview!$D$31,0)</f>
        <v>0</v>
      </c>
      <c r="S18" s="135">
        <f t="shared" ref="S18:S34" si="3">IFERROR($P18/$P$58,0)</f>
        <v>0</v>
      </c>
      <c r="T18" s="5"/>
      <c r="U18" s="33" t="s">
        <v>280</v>
      </c>
      <c r="V18" s="5"/>
      <c r="W18" s="37"/>
      <c r="X18" s="229">
        <v>0</v>
      </c>
      <c r="Y18" s="88">
        <f>IFERROR($X18/Overview!$D$32,0)</f>
        <v>0</v>
      </c>
      <c r="Z18" s="107">
        <f>IFERROR($X18/Overview!$D$31,0)</f>
        <v>0</v>
      </c>
      <c r="AA18" s="135">
        <f ca="1">IFERROR($X18/$X$20,0)</f>
        <v>0</v>
      </c>
      <c r="AB18" s="5"/>
      <c r="AC18" s="33" t="str">
        <f t="shared" si="1"/>
        <v>Assumed Annual Commercial Revenue</v>
      </c>
      <c r="AD18" s="5"/>
      <c r="AE18" s="5"/>
      <c r="AF18" s="256">
        <v>0</v>
      </c>
      <c r="AG18" s="256">
        <v>0</v>
      </c>
      <c r="AH18" s="294"/>
      <c r="AI18" s="88">
        <f>X18</f>
        <v>0</v>
      </c>
      <c r="AJ18" s="88">
        <f t="shared" ref="AJ18:AW18" si="4">IF(AJ$15&lt;$AH18,AI18*(1+$AF18),AI18*(1+$AG18))</f>
        <v>0</v>
      </c>
      <c r="AK18" s="88">
        <f t="shared" si="4"/>
        <v>0</v>
      </c>
      <c r="AL18" s="88">
        <f t="shared" si="4"/>
        <v>0</v>
      </c>
      <c r="AM18" s="88">
        <f t="shared" si="4"/>
        <v>0</v>
      </c>
      <c r="AN18" s="88">
        <f t="shared" si="4"/>
        <v>0</v>
      </c>
      <c r="AO18" s="88">
        <f t="shared" si="4"/>
        <v>0</v>
      </c>
      <c r="AP18" s="88">
        <f t="shared" si="4"/>
        <v>0</v>
      </c>
      <c r="AQ18" s="88">
        <f t="shared" si="4"/>
        <v>0</v>
      </c>
      <c r="AR18" s="88">
        <f t="shared" si="4"/>
        <v>0</v>
      </c>
      <c r="AS18" s="88">
        <f t="shared" si="4"/>
        <v>0</v>
      </c>
      <c r="AT18" s="88">
        <f t="shared" si="4"/>
        <v>0</v>
      </c>
      <c r="AU18" s="88">
        <f t="shared" si="4"/>
        <v>0</v>
      </c>
      <c r="AV18" s="88">
        <f t="shared" si="4"/>
        <v>0</v>
      </c>
      <c r="AW18" s="103">
        <f t="shared" si="4"/>
        <v>0</v>
      </c>
    </row>
    <row r="19" spans="2:49" x14ac:dyDescent="0.3">
      <c r="B19" s="211" t="s">
        <v>150</v>
      </c>
      <c r="C19" s="234"/>
      <c r="D19" s="234"/>
      <c r="E19" s="212"/>
      <c r="F19" s="229">
        <v>0</v>
      </c>
      <c r="G19" s="88">
        <f>IFERROR($F19/Overview!$D$32,0)</f>
        <v>0</v>
      </c>
      <c r="H19" s="107">
        <f>IFERROR($F19/Overview!$D$31,0)</f>
        <v>0</v>
      </c>
      <c r="I19" s="135">
        <f>IFERROR($F19/$F$117,0)</f>
        <v>0</v>
      </c>
      <c r="J19" s="5"/>
      <c r="K19" s="211" t="s">
        <v>151</v>
      </c>
      <c r="L19" s="236"/>
      <c r="M19" s="237" t="s">
        <v>131</v>
      </c>
      <c r="N19" s="238" t="s">
        <v>131</v>
      </c>
      <c r="O19" s="239" t="s">
        <v>131</v>
      </c>
      <c r="P19" s="240">
        <v>0</v>
      </c>
      <c r="Q19" s="88">
        <f>IFERROR($P19/Overview!$D$32,0)</f>
        <v>0</v>
      </c>
      <c r="R19" s="107">
        <f>IFERROR($P19/Overview!$D$31,0)</f>
        <v>0</v>
      </c>
      <c r="S19" s="135">
        <f t="shared" si="3"/>
        <v>0</v>
      </c>
      <c r="T19" s="5"/>
      <c r="U19" s="33" t="s">
        <v>281</v>
      </c>
      <c r="V19" s="5"/>
      <c r="W19" s="37"/>
      <c r="X19" s="229">
        <v>0</v>
      </c>
      <c r="Y19" s="88">
        <f>IFERROR($X19/Overview!$D$32,0)</f>
        <v>0</v>
      </c>
      <c r="Z19" s="107">
        <f>IFERROR($X19/Overview!$D$31,0)</f>
        <v>0</v>
      </c>
      <c r="AA19" s="135">
        <f ca="1">IFERROR($X19/$X$20,0)</f>
        <v>0</v>
      </c>
      <c r="AB19" s="5"/>
      <c r="AC19" s="33" t="str">
        <f t="shared" si="1"/>
        <v>Other Revenue</v>
      </c>
      <c r="AD19" s="5"/>
      <c r="AE19" s="5"/>
      <c r="AF19" s="256">
        <v>0</v>
      </c>
      <c r="AG19" s="256">
        <v>0</v>
      </c>
      <c r="AH19" s="294"/>
      <c r="AI19" s="88">
        <f>X19</f>
        <v>0</v>
      </c>
      <c r="AJ19" s="88">
        <f t="shared" ref="AJ19:AW19" si="5">IF(AJ$15&lt;$AH19,AI19*(1+$AF19),AI19*(1+$AG19))</f>
        <v>0</v>
      </c>
      <c r="AK19" s="88">
        <f t="shared" si="5"/>
        <v>0</v>
      </c>
      <c r="AL19" s="88">
        <f t="shared" si="5"/>
        <v>0</v>
      </c>
      <c r="AM19" s="88">
        <f t="shared" si="5"/>
        <v>0</v>
      </c>
      <c r="AN19" s="88">
        <f t="shared" si="5"/>
        <v>0</v>
      </c>
      <c r="AO19" s="88">
        <f t="shared" si="5"/>
        <v>0</v>
      </c>
      <c r="AP19" s="88">
        <f t="shared" si="5"/>
        <v>0</v>
      </c>
      <c r="AQ19" s="88">
        <f t="shared" si="5"/>
        <v>0</v>
      </c>
      <c r="AR19" s="88">
        <f t="shared" si="5"/>
        <v>0</v>
      </c>
      <c r="AS19" s="88">
        <f t="shared" si="5"/>
        <v>0</v>
      </c>
      <c r="AT19" s="88">
        <f t="shared" si="5"/>
        <v>0</v>
      </c>
      <c r="AU19" s="88">
        <f t="shared" si="5"/>
        <v>0</v>
      </c>
      <c r="AV19" s="88">
        <f t="shared" si="5"/>
        <v>0</v>
      </c>
      <c r="AW19" s="103">
        <f t="shared" si="5"/>
        <v>0</v>
      </c>
    </row>
    <row r="20" spans="2:49" x14ac:dyDescent="0.3">
      <c r="B20" s="59" t="s">
        <v>152</v>
      </c>
      <c r="C20" s="60"/>
      <c r="D20" s="60"/>
      <c r="E20" s="61"/>
      <c r="F20" s="129">
        <f>SUM(F17:F19)</f>
        <v>0</v>
      </c>
      <c r="G20" s="129">
        <f>IFERROR($F20/Overview!$D$32,0)</f>
        <v>0</v>
      </c>
      <c r="H20" s="124">
        <f>IFERROR($F20/Overview!$D$31,0)</f>
        <v>0</v>
      </c>
      <c r="I20" s="136">
        <f>IFERROR($F20/$F$117,0)</f>
        <v>0</v>
      </c>
      <c r="J20" s="5"/>
      <c r="K20" s="211" t="s">
        <v>153</v>
      </c>
      <c r="L20" s="236"/>
      <c r="M20" s="237" t="s">
        <v>131</v>
      </c>
      <c r="N20" s="238" t="s">
        <v>131</v>
      </c>
      <c r="O20" s="239" t="s">
        <v>131</v>
      </c>
      <c r="P20" s="240">
        <v>0</v>
      </c>
      <c r="Q20" s="88">
        <f>IFERROR($P20/Overview!$D$32,0)</f>
        <v>0</v>
      </c>
      <c r="R20" s="107">
        <f>IFERROR($P20/Overview!$D$31,0)</f>
        <v>0</v>
      </c>
      <c r="S20" s="135">
        <f t="shared" si="3"/>
        <v>0</v>
      </c>
      <c r="T20" s="5"/>
      <c r="U20" s="50" t="s">
        <v>282</v>
      </c>
      <c r="V20" s="53"/>
      <c r="W20" s="51"/>
      <c r="X20" s="94">
        <f ca="1">SUM(X17:X19)</f>
        <v>0</v>
      </c>
      <c r="Y20" s="94">
        <f ca="1">IFERROR($X20/Overview!$D$32,0)</f>
        <v>0</v>
      </c>
      <c r="Z20" s="93">
        <f ca="1">IFERROR($X20/Overview!$D$31,0)</f>
        <v>0</v>
      </c>
      <c r="AA20" s="138">
        <f ca="1">IFERROR($X20/$X$20,0)</f>
        <v>0</v>
      </c>
      <c r="AB20" s="5"/>
      <c r="AC20" s="50" t="str">
        <f t="shared" si="1"/>
        <v>Gross Revenue</v>
      </c>
      <c r="AD20" s="53"/>
      <c r="AE20" s="53"/>
      <c r="AF20" s="260"/>
      <c r="AG20" s="260"/>
      <c r="AH20" s="260"/>
      <c r="AI20" s="94">
        <f t="shared" ref="AI20:AW20" ca="1" si="6">SUM(AI17:AI19)</f>
        <v>0</v>
      </c>
      <c r="AJ20" s="94">
        <f t="shared" ca="1" si="6"/>
        <v>0</v>
      </c>
      <c r="AK20" s="94">
        <f t="shared" ca="1" si="6"/>
        <v>0</v>
      </c>
      <c r="AL20" s="94">
        <f t="shared" ca="1" si="6"/>
        <v>0</v>
      </c>
      <c r="AM20" s="94">
        <f t="shared" ca="1" si="6"/>
        <v>0</v>
      </c>
      <c r="AN20" s="94">
        <f t="shared" ca="1" si="6"/>
        <v>0</v>
      </c>
      <c r="AO20" s="94">
        <f t="shared" ca="1" si="6"/>
        <v>0</v>
      </c>
      <c r="AP20" s="94">
        <f t="shared" ca="1" si="6"/>
        <v>0</v>
      </c>
      <c r="AQ20" s="94">
        <f t="shared" ca="1" si="6"/>
        <v>0</v>
      </c>
      <c r="AR20" s="94">
        <f t="shared" ca="1" si="6"/>
        <v>0</v>
      </c>
      <c r="AS20" s="94">
        <f t="shared" ca="1" si="6"/>
        <v>0</v>
      </c>
      <c r="AT20" s="94">
        <f t="shared" ca="1" si="6"/>
        <v>0</v>
      </c>
      <c r="AU20" s="94">
        <f t="shared" ca="1" si="6"/>
        <v>0</v>
      </c>
      <c r="AV20" s="94">
        <f t="shared" ca="1" si="6"/>
        <v>0</v>
      </c>
      <c r="AW20" s="104">
        <f t="shared" ca="1" si="6"/>
        <v>0</v>
      </c>
    </row>
    <row r="21" spans="2:49" x14ac:dyDescent="0.3">
      <c r="B21" s="33"/>
      <c r="C21" s="5"/>
      <c r="D21" s="5"/>
      <c r="E21" s="37"/>
      <c r="F21" s="88"/>
      <c r="G21" s="88"/>
      <c r="H21" s="107"/>
      <c r="I21" s="135"/>
      <c r="J21" s="5"/>
      <c r="K21" s="211" t="s">
        <v>154</v>
      </c>
      <c r="L21" s="236"/>
      <c r="M21" s="162"/>
      <c r="N21" s="163"/>
      <c r="O21" s="164"/>
      <c r="P21" s="240">
        <v>0</v>
      </c>
      <c r="Q21" s="88">
        <f>IFERROR($P21/Overview!$D$32,0)</f>
        <v>0</v>
      </c>
      <c r="R21" s="107">
        <f>IFERROR($P21/Overview!$D$31,0)</f>
        <v>0</v>
      </c>
      <c r="S21" s="135">
        <f t="shared" si="3"/>
        <v>0</v>
      </c>
      <c r="T21" s="5"/>
      <c r="U21" s="119"/>
      <c r="V21" s="5"/>
      <c r="W21" s="37"/>
      <c r="X21" s="88"/>
      <c r="Y21" s="88"/>
      <c r="Z21" s="107"/>
      <c r="AA21" s="135"/>
      <c r="AB21" s="5"/>
      <c r="AC21" s="119" t="str">
        <f t="shared" si="1"/>
        <v/>
      </c>
      <c r="AD21" s="5"/>
      <c r="AE21" s="5"/>
      <c r="AF21" s="44"/>
      <c r="AG21" s="44"/>
      <c r="AH21" s="44"/>
      <c r="AI21" s="44"/>
      <c r="AJ21" s="44"/>
      <c r="AK21" s="44"/>
      <c r="AL21" s="44"/>
      <c r="AM21" s="44"/>
      <c r="AN21" s="44"/>
      <c r="AO21" s="44"/>
      <c r="AP21" s="44"/>
      <c r="AQ21" s="44"/>
      <c r="AR21" s="44"/>
      <c r="AS21" s="44"/>
      <c r="AT21" s="44"/>
      <c r="AU21" s="44"/>
      <c r="AV21" s="44"/>
      <c r="AW21" s="38"/>
    </row>
    <row r="22" spans="2:49" x14ac:dyDescent="0.3">
      <c r="B22" s="54" t="s">
        <v>78</v>
      </c>
      <c r="C22" s="55"/>
      <c r="D22" s="55"/>
      <c r="E22" s="56"/>
      <c r="F22" s="128"/>
      <c r="G22" s="128"/>
      <c r="H22" s="123"/>
      <c r="I22" s="137"/>
      <c r="J22" s="5"/>
      <c r="K22" s="211" t="s">
        <v>155</v>
      </c>
      <c r="L22" s="236"/>
      <c r="M22" s="162"/>
      <c r="N22" s="163"/>
      <c r="O22" s="164"/>
      <c r="P22" s="240">
        <v>0</v>
      </c>
      <c r="Q22" s="88">
        <f>IFERROR($P22/Overview!$D$32,0)</f>
        <v>0</v>
      </c>
      <c r="R22" s="107">
        <f>IFERROR($P22/Overview!$D$31,0)</f>
        <v>0</v>
      </c>
      <c r="S22" s="135">
        <f t="shared" si="3"/>
        <v>0</v>
      </c>
      <c r="T22" s="5"/>
      <c r="U22" s="54" t="s">
        <v>283</v>
      </c>
      <c r="V22" s="55"/>
      <c r="W22" s="56"/>
      <c r="X22" s="128"/>
      <c r="Y22" s="128"/>
      <c r="Z22" s="123"/>
      <c r="AA22" s="137"/>
      <c r="AB22" s="5"/>
      <c r="AC22" s="54" t="str">
        <f t="shared" si="1"/>
        <v>Operating Expenses</v>
      </c>
      <c r="AD22" s="55"/>
      <c r="AE22" s="55"/>
      <c r="AF22" s="57"/>
      <c r="AG22" s="57"/>
      <c r="AH22" s="57"/>
      <c r="AI22" s="57"/>
      <c r="AJ22" s="57"/>
      <c r="AK22" s="57"/>
      <c r="AL22" s="57"/>
      <c r="AM22" s="57"/>
      <c r="AN22" s="57"/>
      <c r="AO22" s="57"/>
      <c r="AP22" s="57"/>
      <c r="AQ22" s="57"/>
      <c r="AR22" s="57"/>
      <c r="AS22" s="57"/>
      <c r="AT22" s="57"/>
      <c r="AU22" s="57"/>
      <c r="AV22" s="57"/>
      <c r="AW22" s="58"/>
    </row>
    <row r="23" spans="2:49" x14ac:dyDescent="0.3">
      <c r="B23" s="63" t="s">
        <v>156</v>
      </c>
      <c r="C23" s="5"/>
      <c r="D23" s="5"/>
      <c r="E23" s="37"/>
      <c r="F23" s="142"/>
      <c r="G23" s="88"/>
      <c r="H23" s="107"/>
      <c r="I23" s="135"/>
      <c r="J23" s="5"/>
      <c r="K23" s="211" t="s">
        <v>157</v>
      </c>
      <c r="L23" s="236"/>
      <c r="M23" s="162"/>
      <c r="N23" s="163"/>
      <c r="O23" s="164"/>
      <c r="P23" s="240">
        <v>0</v>
      </c>
      <c r="Q23" s="88">
        <f>IFERROR($P23/Overview!$D$32,0)</f>
        <v>0</v>
      </c>
      <c r="R23" s="107">
        <f>IFERROR($P23/Overview!$D$31,0)</f>
        <v>0</v>
      </c>
      <c r="S23" s="135">
        <f t="shared" si="3"/>
        <v>0</v>
      </c>
      <c r="T23" s="5"/>
      <c r="U23" s="33" t="s">
        <v>284</v>
      </c>
      <c r="V23" s="5"/>
      <c r="W23" s="243">
        <v>0</v>
      </c>
      <c r="X23" s="88">
        <f ca="1">$W23*$X$20</f>
        <v>0</v>
      </c>
      <c r="Y23" s="88">
        <f ca="1">IFERROR($X23/Overview!$D$32,0)</f>
        <v>0</v>
      </c>
      <c r="Z23" s="107">
        <f ca="1">IFERROR($X23/Overview!$D$31,0)</f>
        <v>0</v>
      </c>
      <c r="AA23" s="135">
        <f t="shared" ref="AA23:AA40" ca="1" si="7">IFERROR($X23/$X$20,0)</f>
        <v>0</v>
      </c>
      <c r="AB23" s="5"/>
      <c r="AC23" s="33" t="str">
        <f t="shared" si="1"/>
        <v>Vacancy &amp; Credit Loss</v>
      </c>
      <c r="AD23" s="5"/>
      <c r="AE23" s="5"/>
      <c r="AF23" s="257"/>
      <c r="AG23" s="257"/>
      <c r="AH23" s="257"/>
      <c r="AI23" s="88">
        <f t="shared" ref="AI23:AW23" ca="1" si="8">$W$23*AI20</f>
        <v>0</v>
      </c>
      <c r="AJ23" s="88">
        <f t="shared" ca="1" si="8"/>
        <v>0</v>
      </c>
      <c r="AK23" s="88">
        <f t="shared" ca="1" si="8"/>
        <v>0</v>
      </c>
      <c r="AL23" s="88">
        <f t="shared" ca="1" si="8"/>
        <v>0</v>
      </c>
      <c r="AM23" s="88">
        <f t="shared" ca="1" si="8"/>
        <v>0</v>
      </c>
      <c r="AN23" s="88">
        <f t="shared" ca="1" si="8"/>
        <v>0</v>
      </c>
      <c r="AO23" s="88">
        <f t="shared" ca="1" si="8"/>
        <v>0</v>
      </c>
      <c r="AP23" s="88">
        <f t="shared" ca="1" si="8"/>
        <v>0</v>
      </c>
      <c r="AQ23" s="88">
        <f t="shared" ca="1" si="8"/>
        <v>0</v>
      </c>
      <c r="AR23" s="88">
        <f t="shared" ca="1" si="8"/>
        <v>0</v>
      </c>
      <c r="AS23" s="88">
        <f t="shared" ca="1" si="8"/>
        <v>0</v>
      </c>
      <c r="AT23" s="88">
        <f t="shared" ca="1" si="8"/>
        <v>0</v>
      </c>
      <c r="AU23" s="88">
        <f t="shared" ca="1" si="8"/>
        <v>0</v>
      </c>
      <c r="AV23" s="88">
        <f t="shared" ca="1" si="8"/>
        <v>0</v>
      </c>
      <c r="AW23" s="103">
        <f t="shared" ca="1" si="8"/>
        <v>0</v>
      </c>
    </row>
    <row r="24" spans="2:49" x14ac:dyDescent="0.3">
      <c r="B24" s="45" t="s">
        <v>158</v>
      </c>
      <c r="C24" s="5"/>
      <c r="D24" s="5"/>
      <c r="E24" s="37"/>
      <c r="F24" s="229">
        <v>0</v>
      </c>
      <c r="G24" s="88">
        <f>IFERROR($F24/Overview!$D$32,0)</f>
        <v>0</v>
      </c>
      <c r="H24" s="107">
        <f>IFERROR($F24/Overview!$D$31,0)</f>
        <v>0</v>
      </c>
      <c r="I24" s="135">
        <f t="shared" ref="I24:I31" si="9">IFERROR($F24/$F$117,0)</f>
        <v>0</v>
      </c>
      <c r="J24" s="5"/>
      <c r="K24" s="33" t="s">
        <v>159</v>
      </c>
      <c r="L24" s="144"/>
      <c r="M24" s="165"/>
      <c r="N24" s="166"/>
      <c r="O24" s="164"/>
      <c r="P24" s="240">
        <v>0</v>
      </c>
      <c r="Q24" s="88">
        <f>IFERROR($P24/Overview!$D$32,0)</f>
        <v>0</v>
      </c>
      <c r="R24" s="107">
        <f>IFERROR($P24/Overview!$D$31,0)</f>
        <v>0</v>
      </c>
      <c r="S24" s="135">
        <f t="shared" si="3"/>
        <v>0</v>
      </c>
      <c r="T24" s="5"/>
      <c r="U24" s="33" t="s">
        <v>285</v>
      </c>
      <c r="V24" s="5"/>
      <c r="W24" s="37"/>
      <c r="X24" s="229">
        <f>1000*Overview!$D$32</f>
        <v>0</v>
      </c>
      <c r="Y24" s="88">
        <f>IFERROR($X24/Overview!$D$32,0)</f>
        <v>0</v>
      </c>
      <c r="Z24" s="107">
        <f>IFERROR($X24/Overview!$D$31,0)</f>
        <v>0</v>
      </c>
      <c r="AA24" s="135">
        <f t="shared" ca="1" si="7"/>
        <v>0</v>
      </c>
      <c r="AB24" s="5"/>
      <c r="AC24" s="33" t="str">
        <f t="shared" si="1"/>
        <v>Administration / Payroll</v>
      </c>
      <c r="AD24" s="5"/>
      <c r="AE24" s="5"/>
      <c r="AF24" s="256">
        <v>0</v>
      </c>
      <c r="AG24" s="256">
        <v>0</v>
      </c>
      <c r="AH24" s="294"/>
      <c r="AI24" s="88">
        <f t="shared" ref="AI24:AI38" si="10">X24</f>
        <v>0</v>
      </c>
      <c r="AJ24" s="88">
        <f t="shared" ref="AJ24:AW24" si="11">IF(AJ$15&lt;$AH24,AI24*(1+$AF24),AI24*(1+$AG24))</f>
        <v>0</v>
      </c>
      <c r="AK24" s="88">
        <f t="shared" si="11"/>
        <v>0</v>
      </c>
      <c r="AL24" s="88">
        <f t="shared" si="11"/>
        <v>0</v>
      </c>
      <c r="AM24" s="88">
        <f t="shared" si="11"/>
        <v>0</v>
      </c>
      <c r="AN24" s="88">
        <f t="shared" si="11"/>
        <v>0</v>
      </c>
      <c r="AO24" s="88">
        <f t="shared" si="11"/>
        <v>0</v>
      </c>
      <c r="AP24" s="88">
        <f t="shared" si="11"/>
        <v>0</v>
      </c>
      <c r="AQ24" s="88">
        <f t="shared" si="11"/>
        <v>0</v>
      </c>
      <c r="AR24" s="88">
        <f t="shared" si="11"/>
        <v>0</v>
      </c>
      <c r="AS24" s="88">
        <f t="shared" si="11"/>
        <v>0</v>
      </c>
      <c r="AT24" s="88">
        <f t="shared" si="11"/>
        <v>0</v>
      </c>
      <c r="AU24" s="88">
        <f t="shared" si="11"/>
        <v>0</v>
      </c>
      <c r="AV24" s="88">
        <f t="shared" si="11"/>
        <v>0</v>
      </c>
      <c r="AW24" s="103">
        <f t="shared" si="11"/>
        <v>0</v>
      </c>
    </row>
    <row r="25" spans="2:49" x14ac:dyDescent="0.3">
      <c r="B25" s="45" t="s">
        <v>160</v>
      </c>
      <c r="C25" s="5"/>
      <c r="D25" s="5"/>
      <c r="E25" s="37"/>
      <c r="F25" s="229">
        <v>0</v>
      </c>
      <c r="G25" s="88">
        <f>IFERROR($F25/Overview!$D$32,0)</f>
        <v>0</v>
      </c>
      <c r="H25" s="107">
        <f>IFERROR($F25/Overview!$D$31,0)</f>
        <v>0</v>
      </c>
      <c r="I25" s="135">
        <f t="shared" si="9"/>
        <v>0</v>
      </c>
      <c r="J25" s="5"/>
      <c r="K25" s="33" t="s">
        <v>161</v>
      </c>
      <c r="L25" s="144"/>
      <c r="M25" s="165"/>
      <c r="N25" s="166"/>
      <c r="O25" s="164"/>
      <c r="P25" s="240">
        <v>0</v>
      </c>
      <c r="Q25" s="88">
        <f>IFERROR($P25/Overview!$D$32,0)</f>
        <v>0</v>
      </c>
      <c r="R25" s="107">
        <f>IFERROR($P25/Overview!$D$31,0)</f>
        <v>0</v>
      </c>
      <c r="S25" s="135">
        <f t="shared" si="3"/>
        <v>0</v>
      </c>
      <c r="T25" s="5"/>
      <c r="U25" s="33" t="s">
        <v>286</v>
      </c>
      <c r="V25" s="5"/>
      <c r="W25" s="37"/>
      <c r="X25" s="229">
        <f>150*Overview!$D$32</f>
        <v>0</v>
      </c>
      <c r="Y25" s="88">
        <f>IFERROR($X25/Overview!$D$32,0)</f>
        <v>0</v>
      </c>
      <c r="Z25" s="107">
        <f>IFERROR($X25/Overview!$D$31,0)</f>
        <v>0</v>
      </c>
      <c r="AA25" s="135">
        <f t="shared" ca="1" si="7"/>
        <v>0</v>
      </c>
      <c r="AB25" s="5"/>
      <c r="AC25" s="33" t="str">
        <f t="shared" si="1"/>
        <v>Gas</v>
      </c>
      <c r="AD25" s="5"/>
      <c r="AE25" s="5"/>
      <c r="AF25" s="256">
        <v>0</v>
      </c>
      <c r="AG25" s="256">
        <v>0</v>
      </c>
      <c r="AH25" s="294"/>
      <c r="AI25" s="88">
        <f t="shared" si="10"/>
        <v>0</v>
      </c>
      <c r="AJ25" s="88">
        <f t="shared" ref="AJ25:AW25" si="12">IF(AJ$15&lt;$AH25,AI25*(1+$AF25),AI25*(1+$AG25))</f>
        <v>0</v>
      </c>
      <c r="AK25" s="88">
        <f t="shared" si="12"/>
        <v>0</v>
      </c>
      <c r="AL25" s="88">
        <f t="shared" si="12"/>
        <v>0</v>
      </c>
      <c r="AM25" s="88">
        <f t="shared" si="12"/>
        <v>0</v>
      </c>
      <c r="AN25" s="88">
        <f t="shared" si="12"/>
        <v>0</v>
      </c>
      <c r="AO25" s="88">
        <f t="shared" si="12"/>
        <v>0</v>
      </c>
      <c r="AP25" s="88">
        <f t="shared" si="12"/>
        <v>0</v>
      </c>
      <c r="AQ25" s="88">
        <f t="shared" si="12"/>
        <v>0</v>
      </c>
      <c r="AR25" s="88">
        <f t="shared" si="12"/>
        <v>0</v>
      </c>
      <c r="AS25" s="88">
        <f t="shared" si="12"/>
        <v>0</v>
      </c>
      <c r="AT25" s="88">
        <f t="shared" si="12"/>
        <v>0</v>
      </c>
      <c r="AU25" s="88">
        <f t="shared" si="12"/>
        <v>0</v>
      </c>
      <c r="AV25" s="88">
        <f t="shared" si="12"/>
        <v>0</v>
      </c>
      <c r="AW25" s="103">
        <f t="shared" si="12"/>
        <v>0</v>
      </c>
    </row>
    <row r="26" spans="2:49" x14ac:dyDescent="0.3">
      <c r="B26" s="45" t="s">
        <v>162</v>
      </c>
      <c r="C26" s="5"/>
      <c r="D26" s="5"/>
      <c r="E26" s="37"/>
      <c r="F26" s="229">
        <v>0</v>
      </c>
      <c r="G26" s="88">
        <f>IFERROR($F26/Overview!$D$32,0)</f>
        <v>0</v>
      </c>
      <c r="H26" s="107">
        <f>IFERROR($F26/Overview!$D$31,0)</f>
        <v>0</v>
      </c>
      <c r="I26" s="135">
        <f t="shared" si="9"/>
        <v>0</v>
      </c>
      <c r="J26" s="5"/>
      <c r="K26" s="33" t="s">
        <v>163</v>
      </c>
      <c r="L26" s="144"/>
      <c r="M26" s="165"/>
      <c r="N26" s="166"/>
      <c r="O26" s="164"/>
      <c r="P26" s="240">
        <v>0</v>
      </c>
      <c r="Q26" s="88">
        <f>IFERROR($P26/Overview!$D$32,0)</f>
        <v>0</v>
      </c>
      <c r="R26" s="107">
        <f>IFERROR($P26/Overview!$D$31,0)</f>
        <v>0</v>
      </c>
      <c r="S26" s="135">
        <f t="shared" si="3"/>
        <v>0</v>
      </c>
      <c r="T26" s="5"/>
      <c r="U26" s="33" t="s">
        <v>88</v>
      </c>
      <c r="V26" s="5"/>
      <c r="W26" s="37"/>
      <c r="X26" s="229">
        <f>350*Overview!$D$32</f>
        <v>0</v>
      </c>
      <c r="Y26" s="88">
        <f>IFERROR($X26/Overview!$D$32,0)</f>
        <v>0</v>
      </c>
      <c r="Z26" s="107">
        <f>IFERROR($X26/Overview!$D$31,0)</f>
        <v>0</v>
      </c>
      <c r="AA26" s="135">
        <f t="shared" ca="1" si="7"/>
        <v>0</v>
      </c>
      <c r="AB26" s="5"/>
      <c r="AC26" s="33" t="str">
        <f t="shared" si="1"/>
        <v>Electric</v>
      </c>
      <c r="AD26" s="5"/>
      <c r="AE26" s="5"/>
      <c r="AF26" s="256">
        <v>0</v>
      </c>
      <c r="AG26" s="256">
        <v>0</v>
      </c>
      <c r="AH26" s="294"/>
      <c r="AI26" s="88">
        <f t="shared" si="10"/>
        <v>0</v>
      </c>
      <c r="AJ26" s="88">
        <f t="shared" ref="AJ26:AW26" si="13">IF(AJ$15&lt;$AH26,AI26*(1+$AF26),AI26*(1+$AG26))</f>
        <v>0</v>
      </c>
      <c r="AK26" s="88">
        <f t="shared" si="13"/>
        <v>0</v>
      </c>
      <c r="AL26" s="88">
        <f t="shared" si="13"/>
        <v>0</v>
      </c>
      <c r="AM26" s="88">
        <f t="shared" si="13"/>
        <v>0</v>
      </c>
      <c r="AN26" s="88">
        <f t="shared" si="13"/>
        <v>0</v>
      </c>
      <c r="AO26" s="88">
        <f t="shared" si="13"/>
        <v>0</v>
      </c>
      <c r="AP26" s="88">
        <f t="shared" si="13"/>
        <v>0</v>
      </c>
      <c r="AQ26" s="88">
        <f t="shared" si="13"/>
        <v>0</v>
      </c>
      <c r="AR26" s="88">
        <f t="shared" si="13"/>
        <v>0</v>
      </c>
      <c r="AS26" s="88">
        <f t="shared" si="13"/>
        <v>0</v>
      </c>
      <c r="AT26" s="88">
        <f t="shared" si="13"/>
        <v>0</v>
      </c>
      <c r="AU26" s="88">
        <f t="shared" si="13"/>
        <v>0</v>
      </c>
      <c r="AV26" s="88">
        <f t="shared" si="13"/>
        <v>0</v>
      </c>
      <c r="AW26" s="103">
        <f t="shared" si="13"/>
        <v>0</v>
      </c>
    </row>
    <row r="27" spans="2:49" x14ac:dyDescent="0.3">
      <c r="B27" s="45" t="s">
        <v>164</v>
      </c>
      <c r="C27" s="5"/>
      <c r="D27" s="5"/>
      <c r="E27" s="37"/>
      <c r="F27" s="229">
        <v>0</v>
      </c>
      <c r="G27" s="88">
        <f>IFERROR($F27/Overview!$D$32,0)</f>
        <v>0</v>
      </c>
      <c r="H27" s="107">
        <f>IFERROR($F27/Overview!$D$31,0)</f>
        <v>0</v>
      </c>
      <c r="I27" s="135">
        <f t="shared" si="9"/>
        <v>0</v>
      </c>
      <c r="J27" s="5"/>
      <c r="K27" s="33" t="s">
        <v>165</v>
      </c>
      <c r="L27" s="144"/>
      <c r="M27" s="165"/>
      <c r="N27" s="166"/>
      <c r="O27" s="164"/>
      <c r="P27" s="240">
        <v>0</v>
      </c>
      <c r="Q27" s="88">
        <f>IFERROR($P27/Overview!$D$32,0)</f>
        <v>0</v>
      </c>
      <c r="R27" s="107">
        <f>IFERROR($P27/Overview!$D$31,0)</f>
        <v>0</v>
      </c>
      <c r="S27" s="135">
        <f t="shared" si="3"/>
        <v>0</v>
      </c>
      <c r="T27" s="5"/>
      <c r="U27" s="33" t="s">
        <v>287</v>
      </c>
      <c r="V27" s="5"/>
      <c r="W27" s="37"/>
      <c r="X27" s="229">
        <f>450*Overview!$D$32</f>
        <v>0</v>
      </c>
      <c r="Y27" s="88">
        <f>IFERROR($X27/Overview!$D$32,0)</f>
        <v>0</v>
      </c>
      <c r="Z27" s="107">
        <f>IFERROR($X27/Overview!$D$31,0)</f>
        <v>0</v>
      </c>
      <c r="AA27" s="135">
        <f t="shared" ca="1" si="7"/>
        <v>0</v>
      </c>
      <c r="AB27" s="5"/>
      <c r="AC27" s="33" t="str">
        <f t="shared" si="1"/>
        <v>Water &amp; Sewer</v>
      </c>
      <c r="AD27" s="5"/>
      <c r="AE27" s="5"/>
      <c r="AF27" s="256">
        <v>0</v>
      </c>
      <c r="AG27" s="256">
        <v>0</v>
      </c>
      <c r="AH27" s="294"/>
      <c r="AI27" s="88">
        <f t="shared" si="10"/>
        <v>0</v>
      </c>
      <c r="AJ27" s="88">
        <f t="shared" ref="AJ27:AW27" si="14">IF(AJ$15&lt;$AH27,AI27*(1+$AF27),AI27*(1+$AG27))</f>
        <v>0</v>
      </c>
      <c r="AK27" s="88">
        <f t="shared" si="14"/>
        <v>0</v>
      </c>
      <c r="AL27" s="88">
        <f t="shared" si="14"/>
        <v>0</v>
      </c>
      <c r="AM27" s="88">
        <f t="shared" si="14"/>
        <v>0</v>
      </c>
      <c r="AN27" s="88">
        <f t="shared" si="14"/>
        <v>0</v>
      </c>
      <c r="AO27" s="88">
        <f t="shared" si="14"/>
        <v>0</v>
      </c>
      <c r="AP27" s="88">
        <f t="shared" si="14"/>
        <v>0</v>
      </c>
      <c r="AQ27" s="88">
        <f t="shared" si="14"/>
        <v>0</v>
      </c>
      <c r="AR27" s="88">
        <f t="shared" si="14"/>
        <v>0</v>
      </c>
      <c r="AS27" s="88">
        <f t="shared" si="14"/>
        <v>0</v>
      </c>
      <c r="AT27" s="88">
        <f t="shared" si="14"/>
        <v>0</v>
      </c>
      <c r="AU27" s="88">
        <f t="shared" si="14"/>
        <v>0</v>
      </c>
      <c r="AV27" s="88">
        <f t="shared" si="14"/>
        <v>0</v>
      </c>
      <c r="AW27" s="103">
        <f t="shared" si="14"/>
        <v>0</v>
      </c>
    </row>
    <row r="28" spans="2:49" x14ac:dyDescent="0.3">
      <c r="B28" s="45" t="s">
        <v>166</v>
      </c>
      <c r="C28" s="5"/>
      <c r="D28" s="5"/>
      <c r="E28" s="37"/>
      <c r="F28" s="229">
        <v>0</v>
      </c>
      <c r="G28" s="88">
        <f>IFERROR($F28/Overview!$D$32,0)</f>
        <v>0</v>
      </c>
      <c r="H28" s="107">
        <f>IFERROR($F28/Overview!$D$31,0)</f>
        <v>0</v>
      </c>
      <c r="I28" s="135">
        <f t="shared" si="9"/>
        <v>0</v>
      </c>
      <c r="J28" s="5"/>
      <c r="K28" s="33" t="s">
        <v>52</v>
      </c>
      <c r="L28" s="144"/>
      <c r="M28" s="165"/>
      <c r="N28" s="166"/>
      <c r="O28" s="164"/>
      <c r="P28" s="240">
        <v>0</v>
      </c>
      <c r="Q28" s="88">
        <f>IFERROR($P28/Overview!$D$32,0)</f>
        <v>0</v>
      </c>
      <c r="R28" s="107">
        <f>IFERROR($P28/Overview!$D$31,0)</f>
        <v>0</v>
      </c>
      <c r="S28" s="135">
        <f t="shared" si="3"/>
        <v>0</v>
      </c>
      <c r="T28" s="5"/>
      <c r="U28" s="33" t="s">
        <v>99</v>
      </c>
      <c r="V28" s="5"/>
      <c r="W28" s="37"/>
      <c r="X28" s="229">
        <f>30*Overview!$D$32</f>
        <v>0</v>
      </c>
      <c r="Y28" s="88">
        <f>IFERROR($X28/Overview!$D$32,0)</f>
        <v>0</v>
      </c>
      <c r="Z28" s="107">
        <f>IFERROR($X28/Overview!$D$31,0)</f>
        <v>0</v>
      </c>
      <c r="AA28" s="135">
        <f t="shared" ca="1" si="7"/>
        <v>0</v>
      </c>
      <c r="AB28" s="5"/>
      <c r="AC28" s="33" t="str">
        <f t="shared" si="1"/>
        <v>Trash</v>
      </c>
      <c r="AD28" s="5"/>
      <c r="AE28" s="5"/>
      <c r="AF28" s="256">
        <v>0</v>
      </c>
      <c r="AG28" s="256">
        <v>0</v>
      </c>
      <c r="AH28" s="294"/>
      <c r="AI28" s="88">
        <f t="shared" si="10"/>
        <v>0</v>
      </c>
      <c r="AJ28" s="88">
        <f t="shared" ref="AJ28:AW28" si="15">IF(AJ$15&lt;$AH28,AI28*(1+$AF28),AI28*(1+$AG28))</f>
        <v>0</v>
      </c>
      <c r="AK28" s="88">
        <f t="shared" si="15"/>
        <v>0</v>
      </c>
      <c r="AL28" s="88">
        <f t="shared" si="15"/>
        <v>0</v>
      </c>
      <c r="AM28" s="88">
        <f t="shared" si="15"/>
        <v>0</v>
      </c>
      <c r="AN28" s="88">
        <f t="shared" si="15"/>
        <v>0</v>
      </c>
      <c r="AO28" s="88">
        <f t="shared" si="15"/>
        <v>0</v>
      </c>
      <c r="AP28" s="88">
        <f t="shared" si="15"/>
        <v>0</v>
      </c>
      <c r="AQ28" s="88">
        <f t="shared" si="15"/>
        <v>0</v>
      </c>
      <c r="AR28" s="88">
        <f t="shared" si="15"/>
        <v>0</v>
      </c>
      <c r="AS28" s="88">
        <f t="shared" si="15"/>
        <v>0</v>
      </c>
      <c r="AT28" s="88">
        <f t="shared" si="15"/>
        <v>0</v>
      </c>
      <c r="AU28" s="88">
        <f t="shared" si="15"/>
        <v>0</v>
      </c>
      <c r="AV28" s="88">
        <f t="shared" si="15"/>
        <v>0</v>
      </c>
      <c r="AW28" s="103">
        <f t="shared" si="15"/>
        <v>0</v>
      </c>
    </row>
    <row r="29" spans="2:49" x14ac:dyDescent="0.3">
      <c r="B29" s="45" t="s">
        <v>167</v>
      </c>
      <c r="C29" s="5"/>
      <c r="D29" s="5"/>
      <c r="E29" s="37"/>
      <c r="F29" s="229">
        <v>0</v>
      </c>
      <c r="G29" s="88">
        <f>IFERROR($F29/Overview!$D$32,0)</f>
        <v>0</v>
      </c>
      <c r="H29" s="107">
        <f>IFERROR($F29/Overview!$D$31,0)</f>
        <v>0</v>
      </c>
      <c r="I29" s="135">
        <f t="shared" si="9"/>
        <v>0</v>
      </c>
      <c r="J29" s="5"/>
      <c r="K29" s="33" t="s">
        <v>168</v>
      </c>
      <c r="L29" s="144"/>
      <c r="M29" s="165"/>
      <c r="N29" s="166"/>
      <c r="O29" s="164"/>
      <c r="P29" s="240">
        <v>0</v>
      </c>
      <c r="Q29" s="88">
        <f>IFERROR($P29/Overview!$D$32,0)</f>
        <v>0</v>
      </c>
      <c r="R29" s="107">
        <f>IFERROR($P29/Overview!$D$31,0)</f>
        <v>0</v>
      </c>
      <c r="S29" s="135">
        <f t="shared" si="3"/>
        <v>0</v>
      </c>
      <c r="T29" s="5"/>
      <c r="U29" s="33" t="s">
        <v>288</v>
      </c>
      <c r="V29" s="5"/>
      <c r="W29" s="37"/>
      <c r="X29" s="229">
        <f>200*Overview!$D$32</f>
        <v>0</v>
      </c>
      <c r="Y29" s="88">
        <f>IFERROR($X29/Overview!$D$32,0)</f>
        <v>0</v>
      </c>
      <c r="Z29" s="107">
        <f>IFERROR($X29/Overview!$D$31,0)</f>
        <v>0</v>
      </c>
      <c r="AA29" s="135">
        <f t="shared" ca="1" si="7"/>
        <v>0</v>
      </c>
      <c r="AB29" s="5"/>
      <c r="AC29" s="33" t="str">
        <f t="shared" si="1"/>
        <v>Advertising / Marketing</v>
      </c>
      <c r="AD29" s="5"/>
      <c r="AE29" s="5"/>
      <c r="AF29" s="256">
        <v>0</v>
      </c>
      <c r="AG29" s="256">
        <v>0</v>
      </c>
      <c r="AH29" s="294"/>
      <c r="AI29" s="88">
        <f t="shared" si="10"/>
        <v>0</v>
      </c>
      <c r="AJ29" s="88">
        <f t="shared" ref="AJ29:AW29" si="16">IF(AJ$15&lt;$AH29,AI29*(1+$AF29),AI29*(1+$AG29))</f>
        <v>0</v>
      </c>
      <c r="AK29" s="88">
        <f t="shared" si="16"/>
        <v>0</v>
      </c>
      <c r="AL29" s="88">
        <f t="shared" si="16"/>
        <v>0</v>
      </c>
      <c r="AM29" s="88">
        <f t="shared" si="16"/>
        <v>0</v>
      </c>
      <c r="AN29" s="88">
        <f t="shared" si="16"/>
        <v>0</v>
      </c>
      <c r="AO29" s="88">
        <f t="shared" si="16"/>
        <v>0</v>
      </c>
      <c r="AP29" s="88">
        <f t="shared" si="16"/>
        <v>0</v>
      </c>
      <c r="AQ29" s="88">
        <f t="shared" si="16"/>
        <v>0</v>
      </c>
      <c r="AR29" s="88">
        <f t="shared" si="16"/>
        <v>0</v>
      </c>
      <c r="AS29" s="88">
        <f t="shared" si="16"/>
        <v>0</v>
      </c>
      <c r="AT29" s="88">
        <f t="shared" si="16"/>
        <v>0</v>
      </c>
      <c r="AU29" s="88">
        <f t="shared" si="16"/>
        <v>0</v>
      </c>
      <c r="AV29" s="88">
        <f t="shared" si="16"/>
        <v>0</v>
      </c>
      <c r="AW29" s="103">
        <f t="shared" si="16"/>
        <v>0</v>
      </c>
    </row>
    <row r="30" spans="2:49" x14ac:dyDescent="0.3">
      <c r="B30" s="233" t="s">
        <v>169</v>
      </c>
      <c r="C30" s="234"/>
      <c r="D30" s="234"/>
      <c r="E30" s="212"/>
      <c r="F30" s="229">
        <v>0</v>
      </c>
      <c r="G30" s="88">
        <f>IFERROR($F30/Overview!$D$32,0)</f>
        <v>0</v>
      </c>
      <c r="H30" s="107">
        <f>IFERROR($F30/Overview!$D$31,0)</f>
        <v>0</v>
      </c>
      <c r="I30" s="135">
        <f t="shared" si="9"/>
        <v>0</v>
      </c>
      <c r="J30" s="5"/>
      <c r="K30" s="33" t="s">
        <v>170</v>
      </c>
      <c r="L30" s="144"/>
      <c r="M30" s="165"/>
      <c r="N30" s="166"/>
      <c r="O30" s="164"/>
      <c r="P30" s="240">
        <v>0</v>
      </c>
      <c r="Q30" s="88">
        <f>IFERROR($P30/Overview!$D$32,0)</f>
        <v>0</v>
      </c>
      <c r="R30" s="107">
        <f>IFERROR($P30/Overview!$D$31,0)</f>
        <v>0</v>
      </c>
      <c r="S30" s="135">
        <f t="shared" si="3"/>
        <v>0</v>
      </c>
      <c r="T30" s="5"/>
      <c r="U30" s="33" t="s">
        <v>289</v>
      </c>
      <c r="V30" s="5"/>
      <c r="W30" s="37"/>
      <c r="X30" s="229">
        <f>500*Overview!$D$32</f>
        <v>0</v>
      </c>
      <c r="Y30" s="88">
        <f>IFERROR($X30/Overview!$D$32,0)</f>
        <v>0</v>
      </c>
      <c r="Z30" s="107">
        <f>IFERROR($X30/Overview!$D$31,0)</f>
        <v>0</v>
      </c>
      <c r="AA30" s="135">
        <f t="shared" ca="1" si="7"/>
        <v>0</v>
      </c>
      <c r="AB30" s="5"/>
      <c r="AC30" s="33" t="str">
        <f t="shared" si="1"/>
        <v>Janitorial / Security / Grounds Maintenance</v>
      </c>
      <c r="AD30" s="5"/>
      <c r="AE30" s="5"/>
      <c r="AF30" s="256">
        <v>0</v>
      </c>
      <c r="AG30" s="256">
        <v>0</v>
      </c>
      <c r="AH30" s="294"/>
      <c r="AI30" s="88">
        <f t="shared" si="10"/>
        <v>0</v>
      </c>
      <c r="AJ30" s="88">
        <f t="shared" ref="AJ30:AW30" si="17">IF(AJ$15&lt;$AH30,AI30*(1+$AF30),AI30*(1+$AG30))</f>
        <v>0</v>
      </c>
      <c r="AK30" s="88">
        <f t="shared" si="17"/>
        <v>0</v>
      </c>
      <c r="AL30" s="88">
        <f t="shared" si="17"/>
        <v>0</v>
      </c>
      <c r="AM30" s="88">
        <f t="shared" si="17"/>
        <v>0</v>
      </c>
      <c r="AN30" s="88">
        <f t="shared" si="17"/>
        <v>0</v>
      </c>
      <c r="AO30" s="88">
        <f t="shared" si="17"/>
        <v>0</v>
      </c>
      <c r="AP30" s="88">
        <f t="shared" si="17"/>
        <v>0</v>
      </c>
      <c r="AQ30" s="88">
        <f t="shared" si="17"/>
        <v>0</v>
      </c>
      <c r="AR30" s="88">
        <f t="shared" si="17"/>
        <v>0</v>
      </c>
      <c r="AS30" s="88">
        <f t="shared" si="17"/>
        <v>0</v>
      </c>
      <c r="AT30" s="88">
        <f t="shared" si="17"/>
        <v>0</v>
      </c>
      <c r="AU30" s="88">
        <f t="shared" si="17"/>
        <v>0</v>
      </c>
      <c r="AV30" s="88">
        <f t="shared" si="17"/>
        <v>0</v>
      </c>
      <c r="AW30" s="103">
        <f t="shared" si="17"/>
        <v>0</v>
      </c>
    </row>
    <row r="31" spans="2:49" x14ac:dyDescent="0.3">
      <c r="B31" s="62" t="s">
        <v>171</v>
      </c>
      <c r="C31" s="53"/>
      <c r="D31" s="53"/>
      <c r="E31" s="51"/>
      <c r="F31" s="94">
        <f>SUM(F23:F30)</f>
        <v>0</v>
      </c>
      <c r="G31" s="94">
        <f>IFERROR($F31/Overview!$D$32,0)</f>
        <v>0</v>
      </c>
      <c r="H31" s="93">
        <f>IFERROR($F31/Overview!$D$31,0)</f>
        <v>0</v>
      </c>
      <c r="I31" s="138">
        <f t="shared" si="9"/>
        <v>0</v>
      </c>
      <c r="J31" s="5"/>
      <c r="K31" s="33" t="s">
        <v>172</v>
      </c>
      <c r="L31" s="144"/>
      <c r="M31" s="165"/>
      <c r="N31" s="166"/>
      <c r="O31" s="164"/>
      <c r="P31" s="202">
        <f>$P$58-SUM($P$17:$P$30,$P$32:$P$33)</f>
        <v>0</v>
      </c>
      <c r="Q31" s="88">
        <f>IFERROR($P31/Overview!$D$32,0)</f>
        <v>0</v>
      </c>
      <c r="R31" s="107">
        <f>IFERROR($P31/Overview!$D$31,0)</f>
        <v>0</v>
      </c>
      <c r="S31" s="135">
        <f t="shared" si="3"/>
        <v>0</v>
      </c>
      <c r="T31" s="5"/>
      <c r="U31" s="33" t="s">
        <v>290</v>
      </c>
      <c r="V31" s="5"/>
      <c r="W31" s="37"/>
      <c r="X31" s="229">
        <f>700*Overview!$D$32</f>
        <v>0</v>
      </c>
      <c r="Y31" s="88">
        <f>IFERROR($X31/Overview!$D$32,0)</f>
        <v>0</v>
      </c>
      <c r="Z31" s="107">
        <f>IFERROR($X31/Overview!$D$31,0)</f>
        <v>0</v>
      </c>
      <c r="AA31" s="135">
        <f t="shared" ca="1" si="7"/>
        <v>0</v>
      </c>
      <c r="AB31" s="5"/>
      <c r="AC31" s="33" t="str">
        <f t="shared" si="1"/>
        <v>Repairs &amp; Maintenance</v>
      </c>
      <c r="AD31" s="5"/>
      <c r="AE31" s="5"/>
      <c r="AF31" s="256">
        <v>0</v>
      </c>
      <c r="AG31" s="256">
        <v>0</v>
      </c>
      <c r="AH31" s="294"/>
      <c r="AI31" s="88">
        <f t="shared" si="10"/>
        <v>0</v>
      </c>
      <c r="AJ31" s="88">
        <f t="shared" ref="AJ31:AW31" si="18">IF(AJ$15&lt;$AH31,AI31*(1+$AF31),AI31*(1+$AG31))</f>
        <v>0</v>
      </c>
      <c r="AK31" s="88">
        <f t="shared" si="18"/>
        <v>0</v>
      </c>
      <c r="AL31" s="88">
        <f t="shared" si="18"/>
        <v>0</v>
      </c>
      <c r="AM31" s="88">
        <f t="shared" si="18"/>
        <v>0</v>
      </c>
      <c r="AN31" s="88">
        <f t="shared" si="18"/>
        <v>0</v>
      </c>
      <c r="AO31" s="88">
        <f t="shared" si="18"/>
        <v>0</v>
      </c>
      <c r="AP31" s="88">
        <f t="shared" si="18"/>
        <v>0</v>
      </c>
      <c r="AQ31" s="88">
        <f t="shared" si="18"/>
        <v>0</v>
      </c>
      <c r="AR31" s="88">
        <f t="shared" si="18"/>
        <v>0</v>
      </c>
      <c r="AS31" s="88">
        <f t="shared" si="18"/>
        <v>0</v>
      </c>
      <c r="AT31" s="88">
        <f t="shared" si="18"/>
        <v>0</v>
      </c>
      <c r="AU31" s="88">
        <f t="shared" si="18"/>
        <v>0</v>
      </c>
      <c r="AV31" s="88">
        <f t="shared" si="18"/>
        <v>0</v>
      </c>
      <c r="AW31" s="103">
        <f t="shared" si="18"/>
        <v>0</v>
      </c>
    </row>
    <row r="32" spans="2:49" x14ac:dyDescent="0.3">
      <c r="B32" s="33"/>
      <c r="C32" s="5"/>
      <c r="D32" s="5"/>
      <c r="E32" s="37"/>
      <c r="F32" s="88"/>
      <c r="G32" s="88"/>
      <c r="H32" s="107"/>
      <c r="I32" s="135"/>
      <c r="J32" s="5"/>
      <c r="K32" s="211" t="s">
        <v>173</v>
      </c>
      <c r="L32" s="236"/>
      <c r="M32" s="162"/>
      <c r="N32" s="163"/>
      <c r="O32" s="164"/>
      <c r="P32" s="240">
        <v>0</v>
      </c>
      <c r="Q32" s="88">
        <f>IFERROR($P32/Overview!$D$32,0)</f>
        <v>0</v>
      </c>
      <c r="R32" s="107">
        <f>IFERROR($P32/Overview!$D$31,0)</f>
        <v>0</v>
      </c>
      <c r="S32" s="135">
        <f t="shared" si="3"/>
        <v>0</v>
      </c>
      <c r="T32" s="5"/>
      <c r="U32" s="33" t="s">
        <v>291</v>
      </c>
      <c r="V32" s="5"/>
      <c r="W32" s="37"/>
      <c r="X32" s="88">
        <f ca="1">IFERROR(SUMIFS(SWHP!$R$79:$X$79,SWHP!$R$63:$X$63,$Q$62),0)</f>
        <v>0</v>
      </c>
      <c r="Y32" s="88">
        <f ca="1">IFERROR($X32/Overview!$D$32,0)</f>
        <v>0</v>
      </c>
      <c r="Z32" s="107">
        <f ca="1">IFERROR($X32/Overview!$D$31,0)</f>
        <v>0</v>
      </c>
      <c r="AA32" s="135">
        <f t="shared" ca="1" si="7"/>
        <v>0</v>
      </c>
      <c r="AB32" s="5"/>
      <c r="AC32" s="33" t="str">
        <f t="shared" si="1"/>
        <v>Real Estate Taxes</v>
      </c>
      <c r="AD32" s="5"/>
      <c r="AE32" s="5"/>
      <c r="AF32" s="256">
        <v>0</v>
      </c>
      <c r="AG32" s="256">
        <v>0</v>
      </c>
      <c r="AH32" s="294"/>
      <c r="AI32" s="88">
        <f ca="1">IFERROR(X32,0)</f>
        <v>0</v>
      </c>
      <c r="AJ32" s="88">
        <f ca="1">IFERROR(IF(AJ$15&lt;$AH32,AI32*(1+$AF32),AI32*(1+$AG32)),0)</f>
        <v>0</v>
      </c>
      <c r="AK32" s="88">
        <f t="shared" ref="AK32:AW32" ca="1" si="19">IFERROR(IF(AK$15&lt;$AH32,AJ32*(1+$AF32),AJ32*(1+$AG32)),0)</f>
        <v>0</v>
      </c>
      <c r="AL32" s="88">
        <f t="shared" ca="1" si="19"/>
        <v>0</v>
      </c>
      <c r="AM32" s="88">
        <f t="shared" ca="1" si="19"/>
        <v>0</v>
      </c>
      <c r="AN32" s="88">
        <f t="shared" ca="1" si="19"/>
        <v>0</v>
      </c>
      <c r="AO32" s="88">
        <f t="shared" ca="1" si="19"/>
        <v>0</v>
      </c>
      <c r="AP32" s="88">
        <f t="shared" ca="1" si="19"/>
        <v>0</v>
      </c>
      <c r="AQ32" s="88">
        <f t="shared" ca="1" si="19"/>
        <v>0</v>
      </c>
      <c r="AR32" s="88">
        <f t="shared" ca="1" si="19"/>
        <v>0</v>
      </c>
      <c r="AS32" s="88">
        <f t="shared" ca="1" si="19"/>
        <v>0</v>
      </c>
      <c r="AT32" s="88">
        <f t="shared" ca="1" si="19"/>
        <v>0</v>
      </c>
      <c r="AU32" s="88">
        <f t="shared" ca="1" si="19"/>
        <v>0</v>
      </c>
      <c r="AV32" s="88">
        <f t="shared" ca="1" si="19"/>
        <v>0</v>
      </c>
      <c r="AW32" s="103">
        <f t="shared" ca="1" si="19"/>
        <v>0</v>
      </c>
    </row>
    <row r="33" spans="2:49" x14ac:dyDescent="0.3">
      <c r="B33" s="63" t="s">
        <v>174</v>
      </c>
      <c r="C33" s="5"/>
      <c r="D33" s="5"/>
      <c r="E33" s="37"/>
      <c r="F33" s="88"/>
      <c r="G33" s="88"/>
      <c r="H33" s="107"/>
      <c r="I33" s="135"/>
      <c r="J33" s="5"/>
      <c r="K33" s="211" t="s">
        <v>173</v>
      </c>
      <c r="L33" s="236"/>
      <c r="M33" s="162"/>
      <c r="N33" s="163"/>
      <c r="O33" s="164"/>
      <c r="P33" s="240">
        <v>0</v>
      </c>
      <c r="Q33" s="88">
        <f>IFERROR($P33/Overview!$D$32,0)</f>
        <v>0</v>
      </c>
      <c r="R33" s="107">
        <f>IFERROR($P33/Overview!$D$31,0)</f>
        <v>0</v>
      </c>
      <c r="S33" s="135">
        <f t="shared" si="3"/>
        <v>0</v>
      </c>
      <c r="T33" s="5"/>
      <c r="U33" s="33" t="s">
        <v>292</v>
      </c>
      <c r="V33" s="5"/>
      <c r="W33" s="37"/>
      <c r="X33" s="229">
        <f>1000*Overview!$D$32</f>
        <v>0</v>
      </c>
      <c r="Y33" s="88">
        <f>IFERROR($X33/Overview!$D$32,0)</f>
        <v>0</v>
      </c>
      <c r="Z33" s="107">
        <f>IFERROR($X33/Overview!$D$31,0)</f>
        <v>0</v>
      </c>
      <c r="AA33" s="135">
        <f t="shared" ca="1" si="7"/>
        <v>0</v>
      </c>
      <c r="AB33" s="5"/>
      <c r="AC33" s="33" t="str">
        <f t="shared" si="1"/>
        <v>Insurance</v>
      </c>
      <c r="AD33" s="5"/>
      <c r="AE33" s="5"/>
      <c r="AF33" s="256">
        <v>0</v>
      </c>
      <c r="AG33" s="256">
        <v>0</v>
      </c>
      <c r="AH33" s="294"/>
      <c r="AI33" s="88">
        <f t="shared" si="10"/>
        <v>0</v>
      </c>
      <c r="AJ33" s="88">
        <f t="shared" ref="AJ33:AW33" si="20">IF(AJ$15&lt;$AH33,AI33*(1+$AF33),AI33*(1+$AG33))</f>
        <v>0</v>
      </c>
      <c r="AK33" s="88">
        <f t="shared" si="20"/>
        <v>0</v>
      </c>
      <c r="AL33" s="88">
        <f t="shared" si="20"/>
        <v>0</v>
      </c>
      <c r="AM33" s="88">
        <f t="shared" si="20"/>
        <v>0</v>
      </c>
      <c r="AN33" s="88">
        <f t="shared" si="20"/>
        <v>0</v>
      </c>
      <c r="AO33" s="88">
        <f t="shared" si="20"/>
        <v>0</v>
      </c>
      <c r="AP33" s="88">
        <f t="shared" si="20"/>
        <v>0</v>
      </c>
      <c r="AQ33" s="88">
        <f t="shared" si="20"/>
        <v>0</v>
      </c>
      <c r="AR33" s="88">
        <f t="shared" si="20"/>
        <v>0</v>
      </c>
      <c r="AS33" s="88">
        <f t="shared" si="20"/>
        <v>0</v>
      </c>
      <c r="AT33" s="88">
        <f t="shared" si="20"/>
        <v>0</v>
      </c>
      <c r="AU33" s="88">
        <f t="shared" si="20"/>
        <v>0</v>
      </c>
      <c r="AV33" s="88">
        <f t="shared" si="20"/>
        <v>0</v>
      </c>
      <c r="AW33" s="103">
        <f t="shared" si="20"/>
        <v>0</v>
      </c>
    </row>
    <row r="34" spans="2:49" x14ac:dyDescent="0.3">
      <c r="B34" s="45" t="s">
        <v>175</v>
      </c>
      <c r="C34" s="5"/>
      <c r="D34" s="5"/>
      <c r="E34" s="231">
        <v>0</v>
      </c>
      <c r="F34" s="143">
        <f>$E34*SUM(F$31:F33)</f>
        <v>0</v>
      </c>
      <c r="G34" s="88">
        <f>IFERROR($F34/Overview!$D$32,0)</f>
        <v>0</v>
      </c>
      <c r="H34" s="107">
        <f>IFERROR($F34/Overview!$D$31,0)</f>
        <v>0</v>
      </c>
      <c r="I34" s="135">
        <f t="shared" ref="I34:I43" si="21">IFERROR($F34/$F$117,0)</f>
        <v>0</v>
      </c>
      <c r="J34" s="5"/>
      <c r="K34" s="50" t="s">
        <v>176</v>
      </c>
      <c r="L34" s="53"/>
      <c r="M34" s="169"/>
      <c r="N34" s="170"/>
      <c r="O34" s="171"/>
      <c r="P34" s="112">
        <f>SUM(P17:P33)</f>
        <v>0</v>
      </c>
      <c r="Q34" s="94">
        <f>IFERROR($P34/Overview!$D$32,0)</f>
        <v>0</v>
      </c>
      <c r="R34" s="93">
        <f>IFERROR($P34/Overview!$D$31,0)</f>
        <v>0</v>
      </c>
      <c r="S34" s="138">
        <f t="shared" si="3"/>
        <v>0</v>
      </c>
      <c r="T34" s="5"/>
      <c r="U34" s="33" t="s">
        <v>251</v>
      </c>
      <c r="V34" s="5"/>
      <c r="W34" s="37"/>
      <c r="X34" s="229">
        <f>300*Overview!$D$32</f>
        <v>0</v>
      </c>
      <c r="Y34" s="88">
        <f>IFERROR($X34/Overview!$D$32,0)</f>
        <v>0</v>
      </c>
      <c r="Z34" s="107">
        <f>IFERROR($X34/Overview!$D$31,0)</f>
        <v>0</v>
      </c>
      <c r="AA34" s="135">
        <f t="shared" ca="1" si="7"/>
        <v>0</v>
      </c>
      <c r="AB34" s="5"/>
      <c r="AC34" s="33" t="str">
        <f t="shared" si="1"/>
        <v>Replacement Reserve</v>
      </c>
      <c r="AD34" s="5"/>
      <c r="AE34" s="5"/>
      <c r="AF34" s="256">
        <v>0</v>
      </c>
      <c r="AG34" s="256">
        <v>0</v>
      </c>
      <c r="AH34" s="294"/>
      <c r="AI34" s="88">
        <f t="shared" si="10"/>
        <v>0</v>
      </c>
      <c r="AJ34" s="88">
        <f t="shared" ref="AJ34:AW34" si="22">IF(AJ$15&lt;$AH34,AI34*(1+$AF34),AI34*(1+$AG34))</f>
        <v>0</v>
      </c>
      <c r="AK34" s="88">
        <f t="shared" si="22"/>
        <v>0</v>
      </c>
      <c r="AL34" s="88">
        <f t="shared" si="22"/>
        <v>0</v>
      </c>
      <c r="AM34" s="88">
        <f t="shared" si="22"/>
        <v>0</v>
      </c>
      <c r="AN34" s="88">
        <f t="shared" si="22"/>
        <v>0</v>
      </c>
      <c r="AO34" s="88">
        <f t="shared" si="22"/>
        <v>0</v>
      </c>
      <c r="AP34" s="88">
        <f t="shared" si="22"/>
        <v>0</v>
      </c>
      <c r="AQ34" s="88">
        <f t="shared" si="22"/>
        <v>0</v>
      </c>
      <c r="AR34" s="88">
        <f t="shared" si="22"/>
        <v>0</v>
      </c>
      <c r="AS34" s="88">
        <f t="shared" si="22"/>
        <v>0</v>
      </c>
      <c r="AT34" s="88">
        <f t="shared" si="22"/>
        <v>0</v>
      </c>
      <c r="AU34" s="88">
        <f t="shared" si="22"/>
        <v>0</v>
      </c>
      <c r="AV34" s="88">
        <f t="shared" si="22"/>
        <v>0</v>
      </c>
      <c r="AW34" s="103">
        <f t="shared" si="22"/>
        <v>0</v>
      </c>
    </row>
    <row r="35" spans="2:49" x14ac:dyDescent="0.3">
      <c r="B35" s="45" t="s">
        <v>177</v>
      </c>
      <c r="C35" s="5"/>
      <c r="D35" s="5"/>
      <c r="E35" s="231">
        <v>0</v>
      </c>
      <c r="F35" s="143">
        <f>$E35*SUM(F$31:F34)</f>
        <v>0</v>
      </c>
      <c r="G35" s="88">
        <f>IFERROR($F35/Overview!$D$32,0)</f>
        <v>0</v>
      </c>
      <c r="H35" s="107">
        <f>IFERROR($F35/Overview!$D$31,0)</f>
        <v>0</v>
      </c>
      <c r="I35" s="135">
        <f t="shared" si="21"/>
        <v>0</v>
      </c>
      <c r="J35" s="5"/>
      <c r="K35" s="119"/>
      <c r="L35" s="5"/>
      <c r="M35" s="167"/>
      <c r="N35" s="168"/>
      <c r="O35" s="164"/>
      <c r="P35" s="111" t="b">
        <f>P34=$P$58</f>
        <v>1</v>
      </c>
      <c r="Q35" s="88"/>
      <c r="R35" s="107"/>
      <c r="S35" s="135"/>
      <c r="T35" s="5"/>
      <c r="U35" s="211" t="s">
        <v>293</v>
      </c>
      <c r="V35" s="241"/>
      <c r="W35" s="242"/>
      <c r="X35" s="229">
        <v>0</v>
      </c>
      <c r="Y35" s="88">
        <f>IFERROR($X35/Overview!$D$32,0)</f>
        <v>0</v>
      </c>
      <c r="Z35" s="107">
        <f>IFERROR($X35/Overview!$D$31,0)</f>
        <v>0</v>
      </c>
      <c r="AA35" s="135">
        <f t="shared" ca="1" si="7"/>
        <v>0</v>
      </c>
      <c r="AB35" s="5"/>
      <c r="AC35" s="33" t="str">
        <f t="shared" si="1"/>
        <v>Other Expense Item:</v>
      </c>
      <c r="AD35" s="5"/>
      <c r="AE35" s="5"/>
      <c r="AF35" s="256">
        <v>0</v>
      </c>
      <c r="AG35" s="256">
        <v>0</v>
      </c>
      <c r="AH35" s="294"/>
      <c r="AI35" s="88">
        <f t="shared" si="10"/>
        <v>0</v>
      </c>
      <c r="AJ35" s="88">
        <f t="shared" ref="AJ35:AW35" si="23">IF(AJ$15&lt;$AH35,AI35*(1+$AF35),AI35*(1+$AG35))</f>
        <v>0</v>
      </c>
      <c r="AK35" s="88">
        <f t="shared" si="23"/>
        <v>0</v>
      </c>
      <c r="AL35" s="88">
        <f t="shared" si="23"/>
        <v>0</v>
      </c>
      <c r="AM35" s="88">
        <f t="shared" si="23"/>
        <v>0</v>
      </c>
      <c r="AN35" s="88">
        <f t="shared" si="23"/>
        <v>0</v>
      </c>
      <c r="AO35" s="88">
        <f t="shared" si="23"/>
        <v>0</v>
      </c>
      <c r="AP35" s="88">
        <f t="shared" si="23"/>
        <v>0</v>
      </c>
      <c r="AQ35" s="88">
        <f t="shared" si="23"/>
        <v>0</v>
      </c>
      <c r="AR35" s="88">
        <f t="shared" si="23"/>
        <v>0</v>
      </c>
      <c r="AS35" s="88">
        <f t="shared" si="23"/>
        <v>0</v>
      </c>
      <c r="AT35" s="88">
        <f t="shared" si="23"/>
        <v>0</v>
      </c>
      <c r="AU35" s="88">
        <f t="shared" si="23"/>
        <v>0</v>
      </c>
      <c r="AV35" s="88">
        <f t="shared" si="23"/>
        <v>0</v>
      </c>
      <c r="AW35" s="103">
        <f t="shared" si="23"/>
        <v>0</v>
      </c>
    </row>
    <row r="36" spans="2:49" x14ac:dyDescent="0.3">
      <c r="B36" s="45" t="s">
        <v>178</v>
      </c>
      <c r="C36" s="5"/>
      <c r="D36" s="5"/>
      <c r="E36" s="231">
        <v>0</v>
      </c>
      <c r="F36" s="143">
        <f>$E36*SUM(F$31:F35)</f>
        <v>0</v>
      </c>
      <c r="G36" s="88">
        <f>IFERROR($F36/Overview!$D$32,0)</f>
        <v>0</v>
      </c>
      <c r="H36" s="107">
        <f>IFERROR($F36/Overview!$D$31,0)</f>
        <v>0</v>
      </c>
      <c r="I36" s="135">
        <f t="shared" si="21"/>
        <v>0</v>
      </c>
      <c r="J36" s="5"/>
      <c r="K36" s="54" t="s">
        <v>62</v>
      </c>
      <c r="L36" s="55"/>
      <c r="M36" s="155" t="s">
        <v>275</v>
      </c>
      <c r="N36" s="149" t="s">
        <v>276</v>
      </c>
      <c r="O36" s="156" t="s">
        <v>277</v>
      </c>
      <c r="P36" s="159"/>
      <c r="Q36" s="128"/>
      <c r="R36" s="123"/>
      <c r="S36" s="137"/>
      <c r="T36" s="5"/>
      <c r="U36" s="211" t="s">
        <v>293</v>
      </c>
      <c r="V36" s="241"/>
      <c r="W36" s="242"/>
      <c r="X36" s="229">
        <v>0</v>
      </c>
      <c r="Y36" s="88">
        <f>IFERROR($X36/Overview!$D$32,0)</f>
        <v>0</v>
      </c>
      <c r="Z36" s="107">
        <f>IFERROR($X36/Overview!$D$31,0)</f>
        <v>0</v>
      </c>
      <c r="AA36" s="135">
        <f t="shared" ca="1" si="7"/>
        <v>0</v>
      </c>
      <c r="AB36" s="5"/>
      <c r="AC36" s="33" t="str">
        <f t="shared" si="1"/>
        <v>Other Expense Item:</v>
      </c>
      <c r="AD36" s="5"/>
      <c r="AE36" s="5"/>
      <c r="AF36" s="256">
        <v>0</v>
      </c>
      <c r="AG36" s="256">
        <v>0</v>
      </c>
      <c r="AH36" s="294"/>
      <c r="AI36" s="88">
        <f t="shared" si="10"/>
        <v>0</v>
      </c>
      <c r="AJ36" s="88">
        <f t="shared" ref="AJ36:AW36" si="24">IF(AJ$15&lt;$AH36,AI36*(1+$AF36),AI36*(1+$AG36))</f>
        <v>0</v>
      </c>
      <c r="AK36" s="88">
        <f t="shared" si="24"/>
        <v>0</v>
      </c>
      <c r="AL36" s="88">
        <f t="shared" si="24"/>
        <v>0</v>
      </c>
      <c r="AM36" s="88">
        <f t="shared" si="24"/>
        <v>0</v>
      </c>
      <c r="AN36" s="88">
        <f t="shared" si="24"/>
        <v>0</v>
      </c>
      <c r="AO36" s="88">
        <f t="shared" si="24"/>
        <v>0</v>
      </c>
      <c r="AP36" s="88">
        <f t="shared" si="24"/>
        <v>0</v>
      </c>
      <c r="AQ36" s="88">
        <f t="shared" si="24"/>
        <v>0</v>
      </c>
      <c r="AR36" s="88">
        <f t="shared" si="24"/>
        <v>0</v>
      </c>
      <c r="AS36" s="88">
        <f t="shared" si="24"/>
        <v>0</v>
      </c>
      <c r="AT36" s="88">
        <f t="shared" si="24"/>
        <v>0</v>
      </c>
      <c r="AU36" s="88">
        <f t="shared" si="24"/>
        <v>0</v>
      </c>
      <c r="AV36" s="88">
        <f t="shared" si="24"/>
        <v>0</v>
      </c>
      <c r="AW36" s="103">
        <f t="shared" si="24"/>
        <v>0</v>
      </c>
    </row>
    <row r="37" spans="2:49" x14ac:dyDescent="0.3">
      <c r="B37" s="45" t="s">
        <v>179</v>
      </c>
      <c r="C37" s="5"/>
      <c r="D37" s="5"/>
      <c r="E37" s="231">
        <v>0</v>
      </c>
      <c r="F37" s="143">
        <f>$E37*SUM(F$31:F36)</f>
        <v>0</v>
      </c>
      <c r="G37" s="88">
        <f>IFERROR($F37/Overview!$D$32,0)</f>
        <v>0</v>
      </c>
      <c r="H37" s="107">
        <f>IFERROR($F37/Overview!$D$31,0)</f>
        <v>0</v>
      </c>
      <c r="I37" s="135">
        <f t="shared" si="21"/>
        <v>0</v>
      </c>
      <c r="J37" s="5"/>
      <c r="K37" s="211" t="s">
        <v>180</v>
      </c>
      <c r="L37" s="234"/>
      <c r="M37" s="237" t="s">
        <v>131</v>
      </c>
      <c r="N37" s="238" t="s">
        <v>131</v>
      </c>
      <c r="O37" s="239" t="s">
        <v>131</v>
      </c>
      <c r="P37" s="240">
        <v>0</v>
      </c>
      <c r="Q37" s="88">
        <f>IFERROR($P37/Overview!$D$32,0)</f>
        <v>0</v>
      </c>
      <c r="R37" s="107">
        <f>IFERROR($P37/Overview!$D$31,0)</f>
        <v>0</v>
      </c>
      <c r="S37" s="135">
        <f t="shared" ref="S37:S52" si="25">IFERROR($P37/$P$58,0)</f>
        <v>0</v>
      </c>
      <c r="T37" s="5"/>
      <c r="U37" s="211" t="s">
        <v>293</v>
      </c>
      <c r="V37" s="241"/>
      <c r="W37" s="242"/>
      <c r="X37" s="229">
        <v>0</v>
      </c>
      <c r="Y37" s="88">
        <f>IFERROR($X37/Overview!$D$32,0)</f>
        <v>0</v>
      </c>
      <c r="Z37" s="107">
        <f>IFERROR($X37/Overview!$D$31,0)</f>
        <v>0</v>
      </c>
      <c r="AA37" s="135">
        <f t="shared" ca="1" si="7"/>
        <v>0</v>
      </c>
      <c r="AB37" s="5"/>
      <c r="AC37" s="33" t="str">
        <f t="shared" si="1"/>
        <v>Other Expense Item:</v>
      </c>
      <c r="AD37" s="5"/>
      <c r="AE37" s="5"/>
      <c r="AF37" s="256">
        <v>0</v>
      </c>
      <c r="AG37" s="256">
        <v>0</v>
      </c>
      <c r="AH37" s="294"/>
      <c r="AI37" s="88">
        <f t="shared" si="10"/>
        <v>0</v>
      </c>
      <c r="AJ37" s="88">
        <f t="shared" ref="AJ37:AW37" si="26">IF(AJ$15&lt;$AH37,AI37*(1+$AF37),AI37*(1+$AG37))</f>
        <v>0</v>
      </c>
      <c r="AK37" s="88">
        <f t="shared" si="26"/>
        <v>0</v>
      </c>
      <c r="AL37" s="88">
        <f t="shared" si="26"/>
        <v>0</v>
      </c>
      <c r="AM37" s="88">
        <f t="shared" si="26"/>
        <v>0</v>
      </c>
      <c r="AN37" s="88">
        <f t="shared" si="26"/>
        <v>0</v>
      </c>
      <c r="AO37" s="88">
        <f t="shared" si="26"/>
        <v>0</v>
      </c>
      <c r="AP37" s="88">
        <f t="shared" si="26"/>
        <v>0</v>
      </c>
      <c r="AQ37" s="88">
        <f t="shared" si="26"/>
        <v>0</v>
      </c>
      <c r="AR37" s="88">
        <f t="shared" si="26"/>
        <v>0</v>
      </c>
      <c r="AS37" s="88">
        <f t="shared" si="26"/>
        <v>0</v>
      </c>
      <c r="AT37" s="88">
        <f t="shared" si="26"/>
        <v>0</v>
      </c>
      <c r="AU37" s="88">
        <f t="shared" si="26"/>
        <v>0</v>
      </c>
      <c r="AV37" s="88">
        <f t="shared" si="26"/>
        <v>0</v>
      </c>
      <c r="AW37" s="103">
        <f t="shared" si="26"/>
        <v>0</v>
      </c>
    </row>
    <row r="38" spans="2:49" x14ac:dyDescent="0.3">
      <c r="B38" s="45" t="s">
        <v>181</v>
      </c>
      <c r="C38" s="5"/>
      <c r="D38" s="5"/>
      <c r="E38" s="231">
        <v>0</v>
      </c>
      <c r="F38" s="143">
        <f>$E38*SUM(F$31:F37)</f>
        <v>0</v>
      </c>
      <c r="G38" s="88">
        <f>IFERROR($F38/Overview!$D$32,0)</f>
        <v>0</v>
      </c>
      <c r="H38" s="107">
        <f>IFERROR($F38/Overview!$D$31,0)</f>
        <v>0</v>
      </c>
      <c r="I38" s="135">
        <f t="shared" si="21"/>
        <v>0</v>
      </c>
      <c r="J38" s="5"/>
      <c r="K38" s="211" t="s">
        <v>149</v>
      </c>
      <c r="L38" s="234"/>
      <c r="M38" s="237" t="s">
        <v>131</v>
      </c>
      <c r="N38" s="238" t="s">
        <v>131</v>
      </c>
      <c r="O38" s="239" t="s">
        <v>131</v>
      </c>
      <c r="P38" s="240">
        <v>0</v>
      </c>
      <c r="Q38" s="88">
        <f>IFERROR($P38/Overview!$D$32,0)</f>
        <v>0</v>
      </c>
      <c r="R38" s="107">
        <f>IFERROR($P38/Overview!$D$31,0)</f>
        <v>0</v>
      </c>
      <c r="S38" s="135">
        <f t="shared" si="25"/>
        <v>0</v>
      </c>
      <c r="T38" s="5"/>
      <c r="U38" s="211" t="s">
        <v>293</v>
      </c>
      <c r="V38" s="241"/>
      <c r="W38" s="242"/>
      <c r="X38" s="229">
        <v>0</v>
      </c>
      <c r="Y38" s="88">
        <f>IFERROR($X38/Overview!$D$32,0)</f>
        <v>0</v>
      </c>
      <c r="Z38" s="107">
        <f>IFERROR($X38/Overview!$D$31,0)</f>
        <v>0</v>
      </c>
      <c r="AA38" s="135">
        <f t="shared" ca="1" si="7"/>
        <v>0</v>
      </c>
      <c r="AB38" s="5"/>
      <c r="AC38" s="33" t="str">
        <f t="shared" si="1"/>
        <v>Other Expense Item:</v>
      </c>
      <c r="AD38" s="5"/>
      <c r="AE38" s="5"/>
      <c r="AF38" s="256">
        <v>0</v>
      </c>
      <c r="AG38" s="256">
        <v>0</v>
      </c>
      <c r="AH38" s="294"/>
      <c r="AI38" s="88">
        <f t="shared" si="10"/>
        <v>0</v>
      </c>
      <c r="AJ38" s="88">
        <f t="shared" ref="AJ38:AW38" si="27">IF(AJ$15&lt;$AH38,AI38*(1+$AF38),AI38*(1+$AG38))</f>
        <v>0</v>
      </c>
      <c r="AK38" s="88">
        <f t="shared" si="27"/>
        <v>0</v>
      </c>
      <c r="AL38" s="88">
        <f t="shared" si="27"/>
        <v>0</v>
      </c>
      <c r="AM38" s="88">
        <f t="shared" si="27"/>
        <v>0</v>
      </c>
      <c r="AN38" s="88">
        <f t="shared" si="27"/>
        <v>0</v>
      </c>
      <c r="AO38" s="88">
        <f t="shared" si="27"/>
        <v>0</v>
      </c>
      <c r="AP38" s="88">
        <f t="shared" si="27"/>
        <v>0</v>
      </c>
      <c r="AQ38" s="88">
        <f t="shared" si="27"/>
        <v>0</v>
      </c>
      <c r="AR38" s="88">
        <f t="shared" si="27"/>
        <v>0</v>
      </c>
      <c r="AS38" s="88">
        <f t="shared" si="27"/>
        <v>0</v>
      </c>
      <c r="AT38" s="88">
        <f t="shared" si="27"/>
        <v>0</v>
      </c>
      <c r="AU38" s="88">
        <f t="shared" si="27"/>
        <v>0</v>
      </c>
      <c r="AV38" s="88">
        <f t="shared" si="27"/>
        <v>0</v>
      </c>
      <c r="AW38" s="103">
        <f t="shared" si="27"/>
        <v>0</v>
      </c>
    </row>
    <row r="39" spans="2:49" x14ac:dyDescent="0.3">
      <c r="B39" s="45" t="s">
        <v>182</v>
      </c>
      <c r="C39" s="5"/>
      <c r="D39" s="5"/>
      <c r="E39" s="231">
        <v>0</v>
      </c>
      <c r="F39" s="143">
        <f>$E39*SUM(F$31:F38)</f>
        <v>0</v>
      </c>
      <c r="G39" s="88">
        <f>IFERROR($F39/Overview!$D$32,0)</f>
        <v>0</v>
      </c>
      <c r="H39" s="107">
        <f>IFERROR($F39/Overview!$D$31,0)</f>
        <v>0</v>
      </c>
      <c r="I39" s="135">
        <f t="shared" si="21"/>
        <v>0</v>
      </c>
      <c r="J39" s="5"/>
      <c r="K39" s="211" t="s">
        <v>151</v>
      </c>
      <c r="L39" s="234"/>
      <c r="M39" s="237" t="s">
        <v>131</v>
      </c>
      <c r="N39" s="238" t="s">
        <v>131</v>
      </c>
      <c r="O39" s="239" t="s">
        <v>131</v>
      </c>
      <c r="P39" s="240">
        <v>0</v>
      </c>
      <c r="Q39" s="88">
        <f>IFERROR($P39/Overview!$D$32,0)</f>
        <v>0</v>
      </c>
      <c r="R39" s="107">
        <f>IFERROR($P39/Overview!$D$31,0)</f>
        <v>0</v>
      </c>
      <c r="S39" s="135">
        <f t="shared" si="25"/>
        <v>0</v>
      </c>
      <c r="T39" s="5"/>
      <c r="U39" s="33" t="s">
        <v>294</v>
      </c>
      <c r="V39" s="5"/>
      <c r="W39" s="243">
        <v>0</v>
      </c>
      <c r="X39" s="88">
        <f ca="1">$W39*SUM($X$20,-$X$23)</f>
        <v>0</v>
      </c>
      <c r="Y39" s="88">
        <f ca="1">IFERROR($X39/Overview!$D$32,0)</f>
        <v>0</v>
      </c>
      <c r="Z39" s="107">
        <f ca="1">IFERROR($X39/Overview!$D$31,0)</f>
        <v>0</v>
      </c>
      <c r="AA39" s="135">
        <f t="shared" ca="1" si="7"/>
        <v>0</v>
      </c>
      <c r="AB39" s="5"/>
      <c r="AC39" s="33" t="str">
        <f t="shared" si="1"/>
        <v>Management Fee</v>
      </c>
      <c r="AD39" s="5"/>
      <c r="AE39" s="5"/>
      <c r="AF39" s="44"/>
      <c r="AG39" s="44"/>
      <c r="AH39" s="44"/>
      <c r="AI39" s="88">
        <f t="shared" ref="AI39:AW39" ca="1" si="28">$W39*SUM(AI$20,-AI$23)</f>
        <v>0</v>
      </c>
      <c r="AJ39" s="88">
        <f t="shared" ca="1" si="28"/>
        <v>0</v>
      </c>
      <c r="AK39" s="88">
        <f t="shared" ca="1" si="28"/>
        <v>0</v>
      </c>
      <c r="AL39" s="88">
        <f t="shared" ca="1" si="28"/>
        <v>0</v>
      </c>
      <c r="AM39" s="88">
        <f t="shared" ca="1" si="28"/>
        <v>0</v>
      </c>
      <c r="AN39" s="88">
        <f t="shared" ca="1" si="28"/>
        <v>0</v>
      </c>
      <c r="AO39" s="88">
        <f t="shared" ca="1" si="28"/>
        <v>0</v>
      </c>
      <c r="AP39" s="88">
        <f t="shared" ca="1" si="28"/>
        <v>0</v>
      </c>
      <c r="AQ39" s="88">
        <f t="shared" ca="1" si="28"/>
        <v>0</v>
      </c>
      <c r="AR39" s="88">
        <f t="shared" ca="1" si="28"/>
        <v>0</v>
      </c>
      <c r="AS39" s="88">
        <f t="shared" ca="1" si="28"/>
        <v>0</v>
      </c>
      <c r="AT39" s="88">
        <f t="shared" ca="1" si="28"/>
        <v>0</v>
      </c>
      <c r="AU39" s="88">
        <f t="shared" ca="1" si="28"/>
        <v>0</v>
      </c>
      <c r="AV39" s="88">
        <f t="shared" ca="1" si="28"/>
        <v>0</v>
      </c>
      <c r="AW39" s="103">
        <f t="shared" ca="1" si="28"/>
        <v>0</v>
      </c>
    </row>
    <row r="40" spans="2:49" x14ac:dyDescent="0.3">
      <c r="B40" s="45" t="s">
        <v>183</v>
      </c>
      <c r="C40" s="5"/>
      <c r="D40" s="5"/>
      <c r="E40" s="231">
        <v>0</v>
      </c>
      <c r="F40" s="143">
        <f>$E40*SUM(F$31:F39)</f>
        <v>0</v>
      </c>
      <c r="G40" s="88">
        <f>IFERROR($F40/Overview!$D$32,0)</f>
        <v>0</v>
      </c>
      <c r="H40" s="107">
        <f>IFERROR($F40/Overview!$D$31,0)</f>
        <v>0</v>
      </c>
      <c r="I40" s="135">
        <f t="shared" si="21"/>
        <v>0</v>
      </c>
      <c r="J40" s="5"/>
      <c r="K40" s="211" t="s">
        <v>153</v>
      </c>
      <c r="L40" s="234"/>
      <c r="M40" s="237" t="s">
        <v>131</v>
      </c>
      <c r="N40" s="238" t="s">
        <v>131</v>
      </c>
      <c r="O40" s="239" t="s">
        <v>131</v>
      </c>
      <c r="P40" s="240">
        <v>0</v>
      </c>
      <c r="Q40" s="88">
        <f>IFERROR($P40/Overview!$D$32,0)</f>
        <v>0</v>
      </c>
      <c r="R40" s="107">
        <f>IFERROR($P40/Overview!$D$31,0)</f>
        <v>0</v>
      </c>
      <c r="S40" s="135">
        <f t="shared" si="25"/>
        <v>0</v>
      </c>
      <c r="T40" s="5"/>
      <c r="U40" s="50" t="s">
        <v>295</v>
      </c>
      <c r="V40" s="53"/>
      <c r="W40" s="51"/>
      <c r="X40" s="94">
        <f ca="1">IFERROR(SUM(X23:X39),0)</f>
        <v>0</v>
      </c>
      <c r="Y40" s="94">
        <f ca="1">IFERROR($X40/Overview!$D$32,0)</f>
        <v>0</v>
      </c>
      <c r="Z40" s="93">
        <f ca="1">IFERROR($X40/Overview!$D$31,0)</f>
        <v>0</v>
      </c>
      <c r="AA40" s="138">
        <f t="shared" ca="1" si="7"/>
        <v>0</v>
      </c>
      <c r="AB40" s="5"/>
      <c r="AC40" s="50" t="str">
        <f t="shared" si="1"/>
        <v>Total Operating Expenses</v>
      </c>
      <c r="AD40" s="53"/>
      <c r="AE40" s="53"/>
      <c r="AF40" s="52"/>
      <c r="AG40" s="52"/>
      <c r="AH40" s="52"/>
      <c r="AI40" s="94">
        <f t="shared" ref="AI40:AW40" ca="1" si="29">SUM(AI23:AI39)</f>
        <v>0</v>
      </c>
      <c r="AJ40" s="94">
        <f t="shared" ca="1" si="29"/>
        <v>0</v>
      </c>
      <c r="AK40" s="94">
        <f t="shared" ca="1" si="29"/>
        <v>0</v>
      </c>
      <c r="AL40" s="94">
        <f t="shared" ca="1" si="29"/>
        <v>0</v>
      </c>
      <c r="AM40" s="94">
        <f t="shared" ca="1" si="29"/>
        <v>0</v>
      </c>
      <c r="AN40" s="94">
        <f t="shared" ca="1" si="29"/>
        <v>0</v>
      </c>
      <c r="AO40" s="94">
        <f t="shared" ca="1" si="29"/>
        <v>0</v>
      </c>
      <c r="AP40" s="94">
        <f t="shared" ca="1" si="29"/>
        <v>0</v>
      </c>
      <c r="AQ40" s="94">
        <f t="shared" ca="1" si="29"/>
        <v>0</v>
      </c>
      <c r="AR40" s="94">
        <f t="shared" ca="1" si="29"/>
        <v>0</v>
      </c>
      <c r="AS40" s="94">
        <f t="shared" ca="1" si="29"/>
        <v>0</v>
      </c>
      <c r="AT40" s="94">
        <f t="shared" ca="1" si="29"/>
        <v>0</v>
      </c>
      <c r="AU40" s="94">
        <f t="shared" ca="1" si="29"/>
        <v>0</v>
      </c>
      <c r="AV40" s="94">
        <f t="shared" ca="1" si="29"/>
        <v>0</v>
      </c>
      <c r="AW40" s="104">
        <f t="shared" ca="1" si="29"/>
        <v>0</v>
      </c>
    </row>
    <row r="41" spans="2:49" x14ac:dyDescent="0.3">
      <c r="B41" s="45" t="s">
        <v>184</v>
      </c>
      <c r="C41" s="5"/>
      <c r="D41" s="5"/>
      <c r="E41" s="298"/>
      <c r="F41" s="229">
        <v>0</v>
      </c>
      <c r="G41" s="88">
        <f>IFERROR($F41/Overview!$D$32,0)</f>
        <v>0</v>
      </c>
      <c r="H41" s="107">
        <f>IFERROR($F41/Overview!$D$31,0)</f>
        <v>0</v>
      </c>
      <c r="I41" s="135">
        <f t="shared" si="21"/>
        <v>0</v>
      </c>
      <c r="J41" s="5"/>
      <c r="K41" s="211" t="s">
        <v>154</v>
      </c>
      <c r="L41" s="234"/>
      <c r="M41" s="167"/>
      <c r="N41" s="168"/>
      <c r="O41" s="164"/>
      <c r="P41" s="240">
        <v>0</v>
      </c>
      <c r="Q41" s="88">
        <f>IFERROR($P41/Overview!$D$32,0)</f>
        <v>0</v>
      </c>
      <c r="R41" s="107">
        <f>IFERROR($P41/Overview!$D$31,0)</f>
        <v>0</v>
      </c>
      <c r="S41" s="135">
        <f t="shared" si="25"/>
        <v>0</v>
      </c>
      <c r="T41" s="5"/>
      <c r="U41" s="119"/>
      <c r="V41" s="5"/>
      <c r="W41" s="37"/>
      <c r="X41" s="88"/>
      <c r="Y41" s="88"/>
      <c r="Z41" s="107"/>
      <c r="AA41" s="135"/>
      <c r="AB41" s="5"/>
      <c r="AC41" s="119" t="str">
        <f t="shared" si="1"/>
        <v/>
      </c>
      <c r="AD41" s="5"/>
      <c r="AE41" s="5"/>
      <c r="AF41" s="44"/>
      <c r="AG41" s="44"/>
      <c r="AH41" s="44"/>
      <c r="AI41" s="44"/>
      <c r="AJ41" s="44"/>
      <c r="AK41" s="44"/>
      <c r="AL41" s="44"/>
      <c r="AM41" s="44"/>
      <c r="AN41" s="44"/>
      <c r="AO41" s="44"/>
      <c r="AP41" s="44"/>
      <c r="AQ41" s="44"/>
      <c r="AR41" s="44"/>
      <c r="AS41" s="44"/>
      <c r="AT41" s="44"/>
      <c r="AU41" s="44"/>
      <c r="AV41" s="44"/>
      <c r="AW41" s="38"/>
    </row>
    <row r="42" spans="2:49" x14ac:dyDescent="0.3">
      <c r="B42" s="233" t="s">
        <v>185</v>
      </c>
      <c r="C42" s="234"/>
      <c r="D42" s="234"/>
      <c r="E42" s="212"/>
      <c r="F42" s="229">
        <v>0</v>
      </c>
      <c r="G42" s="88">
        <f>IFERROR($F42/Overview!$D$32,0)</f>
        <v>0</v>
      </c>
      <c r="H42" s="107">
        <f>IFERROR($F42/Overview!$D$31,0)</f>
        <v>0</v>
      </c>
      <c r="I42" s="135">
        <f t="shared" si="21"/>
        <v>0</v>
      </c>
      <c r="J42" s="5"/>
      <c r="K42" s="211" t="s">
        <v>155</v>
      </c>
      <c r="L42" s="234"/>
      <c r="M42" s="167"/>
      <c r="N42" s="168"/>
      <c r="O42" s="164"/>
      <c r="P42" s="240">
        <v>0</v>
      </c>
      <c r="Q42" s="88">
        <f>IFERROR($P42/Overview!$D$32,0)</f>
        <v>0</v>
      </c>
      <c r="R42" s="107">
        <f>IFERROR($P42/Overview!$D$31,0)</f>
        <v>0</v>
      </c>
      <c r="S42" s="135">
        <f t="shared" si="25"/>
        <v>0</v>
      </c>
      <c r="T42" s="5"/>
      <c r="U42" s="66" t="s">
        <v>296</v>
      </c>
      <c r="V42" s="60"/>
      <c r="W42" s="61"/>
      <c r="X42" s="129">
        <f ca="1">IFERROR(X20-X40,0)</f>
        <v>0</v>
      </c>
      <c r="Y42" s="129">
        <f ca="1">IFERROR($X42/Overview!$D$32,0)</f>
        <v>0</v>
      </c>
      <c r="Z42" s="124">
        <f ca="1">IFERROR($X42/Overview!$D$31,0)</f>
        <v>0</v>
      </c>
      <c r="AA42" s="136">
        <f ca="1">IFERROR($X42/$X$20,0)</f>
        <v>0</v>
      </c>
      <c r="AB42" s="5"/>
      <c r="AC42" s="66" t="str">
        <f t="shared" si="1"/>
        <v>Net Operating Income</v>
      </c>
      <c r="AD42" s="60"/>
      <c r="AE42" s="60"/>
      <c r="AF42" s="261"/>
      <c r="AG42" s="261"/>
      <c r="AH42" s="261"/>
      <c r="AI42" s="129">
        <f t="shared" ref="AI42:AW42" ca="1" si="30">AI20-AI40</f>
        <v>0</v>
      </c>
      <c r="AJ42" s="129">
        <f t="shared" ca="1" si="30"/>
        <v>0</v>
      </c>
      <c r="AK42" s="129">
        <f t="shared" ca="1" si="30"/>
        <v>0</v>
      </c>
      <c r="AL42" s="129">
        <f t="shared" ca="1" si="30"/>
        <v>0</v>
      </c>
      <c r="AM42" s="129">
        <f t="shared" ca="1" si="30"/>
        <v>0</v>
      </c>
      <c r="AN42" s="129">
        <f t="shared" ca="1" si="30"/>
        <v>0</v>
      </c>
      <c r="AO42" s="129">
        <f t="shared" ca="1" si="30"/>
        <v>0</v>
      </c>
      <c r="AP42" s="129">
        <f t="shared" ca="1" si="30"/>
        <v>0</v>
      </c>
      <c r="AQ42" s="129">
        <f t="shared" ca="1" si="30"/>
        <v>0</v>
      </c>
      <c r="AR42" s="129">
        <f t="shared" ca="1" si="30"/>
        <v>0</v>
      </c>
      <c r="AS42" s="129">
        <f t="shared" ca="1" si="30"/>
        <v>0</v>
      </c>
      <c r="AT42" s="129">
        <f t="shared" ca="1" si="30"/>
        <v>0</v>
      </c>
      <c r="AU42" s="129">
        <f t="shared" ca="1" si="30"/>
        <v>0</v>
      </c>
      <c r="AV42" s="129">
        <f t="shared" ca="1" si="30"/>
        <v>0</v>
      </c>
      <c r="AW42" s="262">
        <f t="shared" ca="1" si="30"/>
        <v>0</v>
      </c>
    </row>
    <row r="43" spans="2:49" x14ac:dyDescent="0.3">
      <c r="B43" s="62" t="s">
        <v>186</v>
      </c>
      <c r="C43" s="53"/>
      <c r="D43" s="53"/>
      <c r="E43" s="51"/>
      <c r="F43" s="94">
        <f>SUM(F34:F42)</f>
        <v>0</v>
      </c>
      <c r="G43" s="94">
        <f>IFERROR($F43/Overview!$D$32,0)</f>
        <v>0</v>
      </c>
      <c r="H43" s="93">
        <f>IFERROR($F43/Overview!$D$31,0)</f>
        <v>0</v>
      </c>
      <c r="I43" s="138">
        <f t="shared" si="21"/>
        <v>0</v>
      </c>
      <c r="J43" s="5"/>
      <c r="K43" s="211" t="s">
        <v>157</v>
      </c>
      <c r="L43" s="234"/>
      <c r="M43" s="167"/>
      <c r="N43" s="168"/>
      <c r="O43" s="164"/>
      <c r="P43" s="240">
        <v>0</v>
      </c>
      <c r="Q43" s="88">
        <f>IFERROR($P43/Overview!$D$32,0)</f>
        <v>0</v>
      </c>
      <c r="R43" s="107">
        <f>IFERROR($P43/Overview!$D$31,0)</f>
        <v>0</v>
      </c>
      <c r="S43" s="135">
        <f t="shared" si="25"/>
        <v>0</v>
      </c>
      <c r="T43" s="5"/>
      <c r="U43" s="45" t="s">
        <v>297</v>
      </c>
      <c r="V43" s="5"/>
      <c r="W43" s="37"/>
      <c r="X43" s="203">
        <f ca="1">IFERROR(X42/X50,0)</f>
        <v>0</v>
      </c>
      <c r="Y43" s="88"/>
      <c r="Z43" s="107"/>
      <c r="AA43" s="135"/>
      <c r="AB43" s="5"/>
      <c r="AC43" s="45" t="str">
        <f t="shared" si="1"/>
        <v>Debt Service Coverage Ratio</v>
      </c>
      <c r="AD43" s="5"/>
      <c r="AE43" s="5"/>
      <c r="AF43" s="44"/>
      <c r="AG43" s="44"/>
      <c r="AH43" s="44"/>
      <c r="AI43" s="258">
        <f t="shared" ref="AI43:AW43" ca="1" si="31">IFERROR(AI42/AI50,0)</f>
        <v>0</v>
      </c>
      <c r="AJ43" s="258">
        <f t="shared" ca="1" si="31"/>
        <v>0</v>
      </c>
      <c r="AK43" s="258">
        <f t="shared" ca="1" si="31"/>
        <v>0</v>
      </c>
      <c r="AL43" s="258">
        <f t="shared" ca="1" si="31"/>
        <v>0</v>
      </c>
      <c r="AM43" s="258">
        <f t="shared" ca="1" si="31"/>
        <v>0</v>
      </c>
      <c r="AN43" s="258">
        <f t="shared" ca="1" si="31"/>
        <v>0</v>
      </c>
      <c r="AO43" s="258">
        <f t="shared" ca="1" si="31"/>
        <v>0</v>
      </c>
      <c r="AP43" s="258">
        <f t="shared" ca="1" si="31"/>
        <v>0</v>
      </c>
      <c r="AQ43" s="258">
        <f t="shared" ca="1" si="31"/>
        <v>0</v>
      </c>
      <c r="AR43" s="258">
        <f t="shared" ca="1" si="31"/>
        <v>0</v>
      </c>
      <c r="AS43" s="258">
        <f t="shared" ca="1" si="31"/>
        <v>0</v>
      </c>
      <c r="AT43" s="258">
        <f t="shared" ca="1" si="31"/>
        <v>0</v>
      </c>
      <c r="AU43" s="258">
        <f t="shared" ca="1" si="31"/>
        <v>0</v>
      </c>
      <c r="AV43" s="258">
        <f t="shared" ca="1" si="31"/>
        <v>0</v>
      </c>
      <c r="AW43" s="259">
        <f t="shared" ca="1" si="31"/>
        <v>0</v>
      </c>
    </row>
    <row r="44" spans="2:49" x14ac:dyDescent="0.3">
      <c r="B44" s="33"/>
      <c r="C44" s="5"/>
      <c r="D44" s="5"/>
      <c r="E44" s="37"/>
      <c r="F44" s="88"/>
      <c r="G44" s="88"/>
      <c r="H44" s="107"/>
      <c r="I44" s="135"/>
      <c r="J44" s="5"/>
      <c r="K44" s="33" t="s">
        <v>187</v>
      </c>
      <c r="L44" s="5"/>
      <c r="M44" s="167"/>
      <c r="N44" s="168"/>
      <c r="O44" s="164"/>
      <c r="P44" s="240">
        <v>0</v>
      </c>
      <c r="Q44" s="88">
        <f>IFERROR($P44/Overview!$D$32,0)</f>
        <v>0</v>
      </c>
      <c r="R44" s="107">
        <f>IFERROR($P44/Overview!$D$31,0)</f>
        <v>0</v>
      </c>
      <c r="S44" s="135">
        <f t="shared" si="25"/>
        <v>0</v>
      </c>
      <c r="T44" s="5"/>
      <c r="U44" s="119"/>
      <c r="V44" s="5"/>
      <c r="W44" s="37"/>
      <c r="X44" s="88"/>
      <c r="Y44" s="88"/>
      <c r="Z44" s="107"/>
      <c r="AA44" s="135"/>
      <c r="AB44" s="5"/>
      <c r="AC44" s="119" t="str">
        <f t="shared" si="1"/>
        <v/>
      </c>
      <c r="AD44" s="5"/>
      <c r="AE44" s="5"/>
      <c r="AF44" s="44"/>
      <c r="AG44" s="44"/>
      <c r="AH44" s="44"/>
      <c r="AI44" s="44"/>
      <c r="AJ44" s="44"/>
      <c r="AK44" s="44"/>
      <c r="AL44" s="44"/>
      <c r="AM44" s="44"/>
      <c r="AN44" s="44"/>
      <c r="AO44" s="44"/>
      <c r="AP44" s="44"/>
      <c r="AQ44" s="44"/>
      <c r="AR44" s="44"/>
      <c r="AS44" s="44"/>
      <c r="AT44" s="44"/>
      <c r="AU44" s="44"/>
      <c r="AV44" s="44"/>
      <c r="AW44" s="38"/>
    </row>
    <row r="45" spans="2:49" x14ac:dyDescent="0.3">
      <c r="B45" s="66" t="s">
        <v>188</v>
      </c>
      <c r="C45" s="60"/>
      <c r="D45" s="60"/>
      <c r="E45" s="253" t="b">
        <f>IFERROR(IF(Overview!F12="Occupied Rehab",$G$45&gt;=5000,$G$45&gt;=15000),"NA")</f>
        <v>0</v>
      </c>
      <c r="F45" s="129">
        <f>SUM(F43,F31)</f>
        <v>0</v>
      </c>
      <c r="G45" s="129">
        <f>IFERROR($F45/Overview!$D$32,0)</f>
        <v>0</v>
      </c>
      <c r="H45" s="124">
        <f>IFERROR($F45/Overview!$D$31,0)</f>
        <v>0</v>
      </c>
      <c r="I45" s="136">
        <f>IFERROR($F45/$F$117,0)</f>
        <v>0</v>
      </c>
      <c r="J45" s="5"/>
      <c r="K45" s="33" t="s">
        <v>189</v>
      </c>
      <c r="L45" s="5"/>
      <c r="M45" s="167"/>
      <c r="N45" s="168"/>
      <c r="O45" s="164"/>
      <c r="P45" s="240">
        <v>0</v>
      </c>
      <c r="Q45" s="88">
        <f>IFERROR($P45/Overview!$D$32,0)</f>
        <v>0</v>
      </c>
      <c r="R45" s="107">
        <f>IFERROR($P45/Overview!$D$31,0)</f>
        <v>0</v>
      </c>
      <c r="S45" s="135">
        <f t="shared" si="25"/>
        <v>0</v>
      </c>
      <c r="T45" s="5"/>
      <c r="U45" s="54" t="s">
        <v>298</v>
      </c>
      <c r="V45" s="55"/>
      <c r="W45" s="56"/>
      <c r="X45" s="128"/>
      <c r="Y45" s="128"/>
      <c r="Z45" s="123"/>
      <c r="AA45" s="137"/>
      <c r="AB45" s="5"/>
      <c r="AC45" s="54" t="str">
        <f t="shared" si="1"/>
        <v>Debt Services</v>
      </c>
      <c r="AD45" s="55"/>
      <c r="AE45" s="55"/>
      <c r="AF45" s="57"/>
      <c r="AG45" s="57"/>
      <c r="AH45" s="57"/>
      <c r="AI45" s="57"/>
      <c r="AJ45" s="57"/>
      <c r="AK45" s="57"/>
      <c r="AL45" s="57"/>
      <c r="AM45" s="57"/>
      <c r="AN45" s="57"/>
      <c r="AO45" s="57"/>
      <c r="AP45" s="57"/>
      <c r="AQ45" s="57"/>
      <c r="AR45" s="57"/>
      <c r="AS45" s="57"/>
      <c r="AT45" s="57"/>
      <c r="AU45" s="57"/>
      <c r="AV45" s="57"/>
      <c r="AW45" s="58"/>
    </row>
    <row r="46" spans="2:49" x14ac:dyDescent="0.3">
      <c r="B46" s="33"/>
      <c r="C46" s="5"/>
      <c r="D46" s="5"/>
      <c r="E46" s="37"/>
      <c r="F46" s="88"/>
      <c r="G46" s="88"/>
      <c r="H46" s="107"/>
      <c r="I46" s="135"/>
      <c r="J46" s="5"/>
      <c r="K46" s="33" t="s">
        <v>52</v>
      </c>
      <c r="L46" s="5"/>
      <c r="M46" s="167"/>
      <c r="N46" s="168"/>
      <c r="O46" s="164"/>
      <c r="P46" s="240">
        <v>0</v>
      </c>
      <c r="Q46" s="88">
        <f>IFERROR($P46/Overview!$D$32,0)</f>
        <v>0</v>
      </c>
      <c r="R46" s="107">
        <f>IFERROR($P46/Overview!$D$31,0)</f>
        <v>0</v>
      </c>
      <c r="S46" s="135">
        <f t="shared" si="25"/>
        <v>0</v>
      </c>
      <c r="T46" s="5"/>
      <c r="U46" s="33" t="str">
        <f>$K37</f>
        <v>Senior Permanent Loan</v>
      </c>
      <c r="V46" s="5"/>
      <c r="W46" s="37"/>
      <c r="X46" s="88">
        <f>IF($M37="Amortizing",-PMT($N37/12,$O37*12,$P37)*12,
IF($M37="Interest-Only",$P37*$N37,0))</f>
        <v>0</v>
      </c>
      <c r="Y46" s="88">
        <f>IFERROR($X46/Overview!$D$32,0)</f>
        <v>0</v>
      </c>
      <c r="Z46" s="107">
        <f>IFERROR($X46/Overview!$D$31,0)</f>
        <v>0</v>
      </c>
      <c r="AA46" s="135">
        <f ca="1">IFERROR($X46/$X$20,0)</f>
        <v>0</v>
      </c>
      <c r="AB46" s="5"/>
      <c r="AC46" s="33" t="str">
        <f t="shared" si="1"/>
        <v>Senior Permanent Loan</v>
      </c>
      <c r="AD46" s="5"/>
      <c r="AE46" s="5"/>
      <c r="AF46" s="44"/>
      <c r="AG46" s="44"/>
      <c r="AH46" s="44"/>
      <c r="AI46" s="88">
        <f t="shared" ref="AI46:AW49" si="32">$X46</f>
        <v>0</v>
      </c>
      <c r="AJ46" s="88">
        <f t="shared" si="32"/>
        <v>0</v>
      </c>
      <c r="AK46" s="88">
        <f t="shared" si="32"/>
        <v>0</v>
      </c>
      <c r="AL46" s="88">
        <f t="shared" si="32"/>
        <v>0</v>
      </c>
      <c r="AM46" s="88">
        <f t="shared" si="32"/>
        <v>0</v>
      </c>
      <c r="AN46" s="88">
        <f t="shared" si="32"/>
        <v>0</v>
      </c>
      <c r="AO46" s="88">
        <f t="shared" si="32"/>
        <v>0</v>
      </c>
      <c r="AP46" s="88">
        <f t="shared" si="32"/>
        <v>0</v>
      </c>
      <c r="AQ46" s="88">
        <f t="shared" si="32"/>
        <v>0</v>
      </c>
      <c r="AR46" s="88">
        <f t="shared" si="32"/>
        <v>0</v>
      </c>
      <c r="AS46" s="88">
        <f t="shared" si="32"/>
        <v>0</v>
      </c>
      <c r="AT46" s="88">
        <f t="shared" si="32"/>
        <v>0</v>
      </c>
      <c r="AU46" s="88">
        <f t="shared" si="32"/>
        <v>0</v>
      </c>
      <c r="AV46" s="88">
        <f t="shared" si="32"/>
        <v>0</v>
      </c>
      <c r="AW46" s="103">
        <f t="shared" si="32"/>
        <v>0</v>
      </c>
    </row>
    <row r="47" spans="2:49" x14ac:dyDescent="0.3">
      <c r="B47" s="54" t="s">
        <v>79</v>
      </c>
      <c r="C47" s="55"/>
      <c r="D47" s="55"/>
      <c r="E47" s="56"/>
      <c r="F47" s="128"/>
      <c r="G47" s="128"/>
      <c r="H47" s="123"/>
      <c r="I47" s="137"/>
      <c r="J47" s="5"/>
      <c r="K47" s="33" t="s">
        <v>168</v>
      </c>
      <c r="L47" s="5"/>
      <c r="M47" s="167"/>
      <c r="N47" s="168"/>
      <c r="O47" s="164"/>
      <c r="P47" s="240">
        <v>0</v>
      </c>
      <c r="Q47" s="88">
        <f>IFERROR($P47/Overview!$D$32,0)</f>
        <v>0</v>
      </c>
      <c r="R47" s="107">
        <f>IFERROR($P47/Overview!$D$31,0)</f>
        <v>0</v>
      </c>
      <c r="S47" s="135">
        <f t="shared" si="25"/>
        <v>0</v>
      </c>
      <c r="T47" s="5"/>
      <c r="U47" s="33" t="str">
        <f>$K38</f>
        <v>Mezzanine Loan A</v>
      </c>
      <c r="V47" s="5"/>
      <c r="W47" s="37"/>
      <c r="X47" s="88">
        <f>IF($M38="Amortizing",-PMT($N38/12,$O38*12,$P38)*12,
IF($M38="Interest-Only",$P38*$N38,0))</f>
        <v>0</v>
      </c>
      <c r="Y47" s="88">
        <f>IFERROR($X47/Overview!$D$32,0)</f>
        <v>0</v>
      </c>
      <c r="Z47" s="107">
        <f>IFERROR($X47/Overview!$D$31,0)</f>
        <v>0</v>
      </c>
      <c r="AA47" s="135">
        <f ca="1">IFERROR($X47/$X$20,0)</f>
        <v>0</v>
      </c>
      <c r="AB47" s="5"/>
      <c r="AC47" s="33" t="str">
        <f t="shared" si="1"/>
        <v>Mezzanine Loan A</v>
      </c>
      <c r="AD47" s="5"/>
      <c r="AE47" s="5"/>
      <c r="AF47" s="44"/>
      <c r="AG47" s="44"/>
      <c r="AH47" s="44"/>
      <c r="AI47" s="88">
        <f t="shared" si="32"/>
        <v>0</v>
      </c>
      <c r="AJ47" s="88">
        <f t="shared" si="32"/>
        <v>0</v>
      </c>
      <c r="AK47" s="88">
        <f t="shared" si="32"/>
        <v>0</v>
      </c>
      <c r="AL47" s="88">
        <f t="shared" si="32"/>
        <v>0</v>
      </c>
      <c r="AM47" s="88">
        <f t="shared" si="32"/>
        <v>0</v>
      </c>
      <c r="AN47" s="88">
        <f t="shared" si="32"/>
        <v>0</v>
      </c>
      <c r="AO47" s="88">
        <f t="shared" si="32"/>
        <v>0</v>
      </c>
      <c r="AP47" s="88">
        <f t="shared" si="32"/>
        <v>0</v>
      </c>
      <c r="AQ47" s="88">
        <f t="shared" si="32"/>
        <v>0</v>
      </c>
      <c r="AR47" s="88">
        <f t="shared" si="32"/>
        <v>0</v>
      </c>
      <c r="AS47" s="88">
        <f t="shared" si="32"/>
        <v>0</v>
      </c>
      <c r="AT47" s="88">
        <f t="shared" si="32"/>
        <v>0</v>
      </c>
      <c r="AU47" s="88">
        <f t="shared" si="32"/>
        <v>0</v>
      </c>
      <c r="AV47" s="88">
        <f t="shared" si="32"/>
        <v>0</v>
      </c>
      <c r="AW47" s="103">
        <f t="shared" si="32"/>
        <v>0</v>
      </c>
    </row>
    <row r="48" spans="2:49" x14ac:dyDescent="0.3">
      <c r="B48" s="63" t="s">
        <v>190</v>
      </c>
      <c r="C48" s="5"/>
      <c r="D48" s="5"/>
      <c r="E48" s="37"/>
      <c r="F48" s="88"/>
      <c r="G48" s="88"/>
      <c r="H48" s="107"/>
      <c r="I48" s="135"/>
      <c r="J48" s="5"/>
      <c r="K48" s="33" t="s">
        <v>170</v>
      </c>
      <c r="L48" s="5"/>
      <c r="M48" s="167"/>
      <c r="N48" s="168"/>
      <c r="O48" s="164"/>
      <c r="P48" s="240">
        <v>0</v>
      </c>
      <c r="Q48" s="88">
        <f>IFERROR($P48/Overview!$D$32,0)</f>
        <v>0</v>
      </c>
      <c r="R48" s="107">
        <f>IFERROR($P48/Overview!$D$31,0)</f>
        <v>0</v>
      </c>
      <c r="S48" s="135">
        <f t="shared" si="25"/>
        <v>0</v>
      </c>
      <c r="T48" s="5"/>
      <c r="U48" s="33" t="str">
        <f>$K39</f>
        <v>Mezzanine Loan B</v>
      </c>
      <c r="V48" s="5"/>
      <c r="W48" s="37"/>
      <c r="X48" s="88">
        <f>IF($M39="Amortizing",-PMT($N39/12,$O39*12,$P39)*12,
IF($M39="Interest-Only",$P39*$N39,0))</f>
        <v>0</v>
      </c>
      <c r="Y48" s="88">
        <f>IFERROR($X48/Overview!$D$32,0)</f>
        <v>0</v>
      </c>
      <c r="Z48" s="107">
        <f>IFERROR($X48/Overview!$D$31,0)</f>
        <v>0</v>
      </c>
      <c r="AA48" s="135">
        <f ca="1">IFERROR($X48/$X$20,0)</f>
        <v>0</v>
      </c>
      <c r="AB48" s="5"/>
      <c r="AC48" s="33" t="str">
        <f t="shared" si="1"/>
        <v>Mezzanine Loan B</v>
      </c>
      <c r="AD48" s="5"/>
      <c r="AE48" s="5"/>
      <c r="AF48" s="44"/>
      <c r="AG48" s="44"/>
      <c r="AH48" s="44"/>
      <c r="AI48" s="88">
        <f t="shared" si="32"/>
        <v>0</v>
      </c>
      <c r="AJ48" s="88">
        <f t="shared" si="32"/>
        <v>0</v>
      </c>
      <c r="AK48" s="88">
        <f t="shared" si="32"/>
        <v>0</v>
      </c>
      <c r="AL48" s="88">
        <f t="shared" si="32"/>
        <v>0</v>
      </c>
      <c r="AM48" s="88">
        <f t="shared" si="32"/>
        <v>0</v>
      </c>
      <c r="AN48" s="88">
        <f t="shared" si="32"/>
        <v>0</v>
      </c>
      <c r="AO48" s="88">
        <f t="shared" si="32"/>
        <v>0</v>
      </c>
      <c r="AP48" s="88">
        <f t="shared" si="32"/>
        <v>0</v>
      </c>
      <c r="AQ48" s="88">
        <f t="shared" si="32"/>
        <v>0</v>
      </c>
      <c r="AR48" s="88">
        <f t="shared" si="32"/>
        <v>0</v>
      </c>
      <c r="AS48" s="88">
        <f t="shared" si="32"/>
        <v>0</v>
      </c>
      <c r="AT48" s="88">
        <f t="shared" si="32"/>
        <v>0</v>
      </c>
      <c r="AU48" s="88">
        <f t="shared" si="32"/>
        <v>0</v>
      </c>
      <c r="AV48" s="88">
        <f t="shared" si="32"/>
        <v>0</v>
      </c>
      <c r="AW48" s="103">
        <f t="shared" si="32"/>
        <v>0</v>
      </c>
    </row>
    <row r="49" spans="2:49" x14ac:dyDescent="0.3">
      <c r="B49" s="45" t="s">
        <v>191</v>
      </c>
      <c r="C49" s="5"/>
      <c r="D49" s="5"/>
      <c r="E49" s="37"/>
      <c r="F49" s="229">
        <v>0</v>
      </c>
      <c r="G49" s="88">
        <f>IFERROR($F49/Overview!$D$32,0)</f>
        <v>0</v>
      </c>
      <c r="H49" s="107">
        <f>IFERROR($F49/Overview!$D$31,0)</f>
        <v>0</v>
      </c>
      <c r="I49" s="135">
        <f t="shared" ref="I49:I56" si="33">IFERROR($F49/$F$117,0)</f>
        <v>0</v>
      </c>
      <c r="J49" s="5"/>
      <c r="K49" s="33" t="s">
        <v>172</v>
      </c>
      <c r="L49" s="5"/>
      <c r="M49" s="167"/>
      <c r="N49" s="168"/>
      <c r="O49" s="164"/>
      <c r="P49" s="202">
        <f>$P$58-SUM($P$37:$P$48,$P$50:$P$51)</f>
        <v>0</v>
      </c>
      <c r="Q49" s="88">
        <f>IFERROR($P49/Overview!$D$32,0)</f>
        <v>0</v>
      </c>
      <c r="R49" s="107">
        <f>IFERROR($P49/Overview!$D$31,0)</f>
        <v>0</v>
      </c>
      <c r="S49" s="135">
        <f t="shared" si="25"/>
        <v>0</v>
      </c>
      <c r="T49" s="5"/>
      <c r="U49" s="33" t="str">
        <f>$K40</f>
        <v>Mezzanine Loan C</v>
      </c>
      <c r="V49" s="5"/>
      <c r="W49" s="37"/>
      <c r="X49" s="88">
        <f>IF($M40="Amortizing",-PMT($N40/12,$O40*12,$P40)*12,
IF($M40="Interest-Only",$P40*$N40,0))</f>
        <v>0</v>
      </c>
      <c r="Y49" s="88">
        <f>IFERROR($X49/Overview!$D$32,0)</f>
        <v>0</v>
      </c>
      <c r="Z49" s="107">
        <f>IFERROR($X49/Overview!$D$31,0)</f>
        <v>0</v>
      </c>
      <c r="AA49" s="135">
        <f ca="1">IFERROR($X49/$X$20,0)</f>
        <v>0</v>
      </c>
      <c r="AB49" s="5"/>
      <c r="AC49" s="33" t="str">
        <f t="shared" si="1"/>
        <v>Mezzanine Loan C</v>
      </c>
      <c r="AD49" s="5"/>
      <c r="AE49" s="5"/>
      <c r="AF49" s="44"/>
      <c r="AG49" s="44"/>
      <c r="AH49" s="44"/>
      <c r="AI49" s="88">
        <f t="shared" si="32"/>
        <v>0</v>
      </c>
      <c r="AJ49" s="88">
        <f t="shared" si="32"/>
        <v>0</v>
      </c>
      <c r="AK49" s="88">
        <f t="shared" si="32"/>
        <v>0</v>
      </c>
      <c r="AL49" s="88">
        <f t="shared" si="32"/>
        <v>0</v>
      </c>
      <c r="AM49" s="88">
        <f t="shared" si="32"/>
        <v>0</v>
      </c>
      <c r="AN49" s="88">
        <f t="shared" si="32"/>
        <v>0</v>
      </c>
      <c r="AO49" s="88">
        <f t="shared" si="32"/>
        <v>0</v>
      </c>
      <c r="AP49" s="88">
        <f t="shared" si="32"/>
        <v>0</v>
      </c>
      <c r="AQ49" s="88">
        <f t="shared" si="32"/>
        <v>0</v>
      </c>
      <c r="AR49" s="88">
        <f t="shared" si="32"/>
        <v>0</v>
      </c>
      <c r="AS49" s="88">
        <f t="shared" si="32"/>
        <v>0</v>
      </c>
      <c r="AT49" s="88">
        <f t="shared" si="32"/>
        <v>0</v>
      </c>
      <c r="AU49" s="88">
        <f t="shared" si="32"/>
        <v>0</v>
      </c>
      <c r="AV49" s="88">
        <f t="shared" si="32"/>
        <v>0</v>
      </c>
      <c r="AW49" s="103">
        <f t="shared" si="32"/>
        <v>0</v>
      </c>
    </row>
    <row r="50" spans="2:49" x14ac:dyDescent="0.3">
      <c r="B50" s="45" t="s">
        <v>192</v>
      </c>
      <c r="C50" s="5"/>
      <c r="D50" s="5"/>
      <c r="E50" s="37"/>
      <c r="F50" s="229">
        <v>0</v>
      </c>
      <c r="G50" s="88">
        <f>IFERROR($F50/Overview!$D$32,0)</f>
        <v>0</v>
      </c>
      <c r="H50" s="107">
        <f>IFERROR($F50/Overview!$D$31,0)</f>
        <v>0</v>
      </c>
      <c r="I50" s="135">
        <f t="shared" si="33"/>
        <v>0</v>
      </c>
      <c r="J50" s="5"/>
      <c r="K50" s="211" t="s">
        <v>193</v>
      </c>
      <c r="L50" s="234"/>
      <c r="M50" s="167"/>
      <c r="N50" s="168"/>
      <c r="O50" s="164"/>
      <c r="P50" s="240">
        <v>0</v>
      </c>
      <c r="Q50" s="88">
        <f>IFERROR($P50/Overview!$D$32,0)</f>
        <v>0</v>
      </c>
      <c r="R50" s="107">
        <f>IFERROR($P50/Overview!$D$31,0)</f>
        <v>0</v>
      </c>
      <c r="S50" s="135">
        <f t="shared" si="25"/>
        <v>0</v>
      </c>
      <c r="T50" s="5"/>
      <c r="U50" s="50" t="s">
        <v>299</v>
      </c>
      <c r="V50" s="53"/>
      <c r="W50" s="51"/>
      <c r="X50" s="94">
        <f>SUM(X46:X49)</f>
        <v>0</v>
      </c>
      <c r="Y50" s="94">
        <f>IFERROR($X50/Overview!$D$32,0)</f>
        <v>0</v>
      </c>
      <c r="Z50" s="93">
        <f>IFERROR($X50/Overview!$D$31,0)</f>
        <v>0</v>
      </c>
      <c r="AA50" s="138">
        <f ca="1">IFERROR($X50/$X$20,0)</f>
        <v>0</v>
      </c>
      <c r="AB50" s="5"/>
      <c r="AC50" s="50" t="str">
        <f t="shared" si="1"/>
        <v>Total Debt Service</v>
      </c>
      <c r="AD50" s="53"/>
      <c r="AE50" s="53"/>
      <c r="AF50" s="52"/>
      <c r="AG50" s="52"/>
      <c r="AH50" s="52"/>
      <c r="AI50" s="94">
        <f t="shared" ref="AI50:AW50" si="34">SUM(AI46:AI49)</f>
        <v>0</v>
      </c>
      <c r="AJ50" s="94">
        <f t="shared" si="34"/>
        <v>0</v>
      </c>
      <c r="AK50" s="94">
        <f t="shared" si="34"/>
        <v>0</v>
      </c>
      <c r="AL50" s="94">
        <f t="shared" si="34"/>
        <v>0</v>
      </c>
      <c r="AM50" s="94">
        <f t="shared" si="34"/>
        <v>0</v>
      </c>
      <c r="AN50" s="94">
        <f t="shared" si="34"/>
        <v>0</v>
      </c>
      <c r="AO50" s="94">
        <f t="shared" si="34"/>
        <v>0</v>
      </c>
      <c r="AP50" s="94">
        <f t="shared" si="34"/>
        <v>0</v>
      </c>
      <c r="AQ50" s="94">
        <f t="shared" si="34"/>
        <v>0</v>
      </c>
      <c r="AR50" s="94">
        <f t="shared" si="34"/>
        <v>0</v>
      </c>
      <c r="AS50" s="94">
        <f t="shared" si="34"/>
        <v>0</v>
      </c>
      <c r="AT50" s="94">
        <f t="shared" si="34"/>
        <v>0</v>
      </c>
      <c r="AU50" s="94">
        <f t="shared" si="34"/>
        <v>0</v>
      </c>
      <c r="AV50" s="94">
        <f t="shared" si="34"/>
        <v>0</v>
      </c>
      <c r="AW50" s="104">
        <f t="shared" si="34"/>
        <v>0</v>
      </c>
    </row>
    <row r="51" spans="2:49" x14ac:dyDescent="0.3">
      <c r="B51" s="45" t="s">
        <v>194</v>
      </c>
      <c r="C51" s="5"/>
      <c r="D51" s="5"/>
      <c r="E51" s="37"/>
      <c r="F51" s="229">
        <v>0</v>
      </c>
      <c r="G51" s="88">
        <f>IFERROR($F51/Overview!$D$32,0)</f>
        <v>0</v>
      </c>
      <c r="H51" s="107">
        <f>IFERROR($F51/Overview!$D$31,0)</f>
        <v>0</v>
      </c>
      <c r="I51" s="135">
        <f t="shared" si="33"/>
        <v>0</v>
      </c>
      <c r="J51" s="5"/>
      <c r="K51" s="211" t="s">
        <v>193</v>
      </c>
      <c r="L51" s="234"/>
      <c r="M51" s="167"/>
      <c r="N51" s="168"/>
      <c r="O51" s="164"/>
      <c r="P51" s="240">
        <v>0</v>
      </c>
      <c r="Q51" s="88">
        <f>IFERROR($P51/Overview!$D$32,0)</f>
        <v>0</v>
      </c>
      <c r="R51" s="107">
        <f>IFERROR($P51/Overview!$D$31,0)</f>
        <v>0</v>
      </c>
      <c r="S51" s="135">
        <f t="shared" si="25"/>
        <v>0</v>
      </c>
      <c r="T51" s="5"/>
      <c r="U51" s="119"/>
      <c r="V51" s="5"/>
      <c r="W51" s="37"/>
      <c r="X51" s="44"/>
      <c r="Y51" s="44"/>
      <c r="Z51" s="107"/>
      <c r="AA51" s="135"/>
      <c r="AB51" s="5"/>
      <c r="AC51" s="119" t="str">
        <f t="shared" si="1"/>
        <v/>
      </c>
      <c r="AD51" s="5"/>
      <c r="AE51" s="5"/>
      <c r="AF51" s="44"/>
      <c r="AG51" s="44"/>
      <c r="AH51" s="44"/>
      <c r="AI51" s="44"/>
      <c r="AJ51" s="44"/>
      <c r="AK51" s="44"/>
      <c r="AL51" s="44"/>
      <c r="AM51" s="44"/>
      <c r="AN51" s="44"/>
      <c r="AO51" s="44"/>
      <c r="AP51" s="44"/>
      <c r="AQ51" s="44"/>
      <c r="AR51" s="44"/>
      <c r="AS51" s="44"/>
      <c r="AT51" s="44"/>
      <c r="AU51" s="44"/>
      <c r="AV51" s="44"/>
      <c r="AW51" s="38"/>
    </row>
    <row r="52" spans="2:49" ht="14.4" thickBot="1" x14ac:dyDescent="0.35">
      <c r="B52" s="45" t="s">
        <v>195</v>
      </c>
      <c r="C52" s="5"/>
      <c r="D52" s="5"/>
      <c r="E52" s="37"/>
      <c r="F52" s="229">
        <v>0</v>
      </c>
      <c r="G52" s="88">
        <f>IFERROR($F52/Overview!$D$32,0)</f>
        <v>0</v>
      </c>
      <c r="H52" s="107">
        <f>IFERROR($F52/Overview!$D$31,0)</f>
        <v>0</v>
      </c>
      <c r="I52" s="135">
        <f t="shared" si="33"/>
        <v>0</v>
      </c>
      <c r="J52" s="5"/>
      <c r="K52" s="50" t="s">
        <v>75</v>
      </c>
      <c r="L52" s="53"/>
      <c r="M52" s="169"/>
      <c r="N52" s="170"/>
      <c r="O52" s="171"/>
      <c r="P52" s="112">
        <f>SUM(P37:P51)</f>
        <v>0</v>
      </c>
      <c r="Q52" s="94">
        <f>IFERROR($P52/Overview!$D$32,0)</f>
        <v>0</v>
      </c>
      <c r="R52" s="93">
        <f>IFERROR($P52/Overview!$D$31,0)</f>
        <v>0</v>
      </c>
      <c r="S52" s="138">
        <f t="shared" si="25"/>
        <v>0</v>
      </c>
      <c r="T52" s="5"/>
      <c r="U52" s="175" t="s">
        <v>300</v>
      </c>
      <c r="V52" s="173"/>
      <c r="W52" s="176"/>
      <c r="X52" s="178">
        <f ca="1">IFERROR(X42-X50,0)</f>
        <v>0</v>
      </c>
      <c r="Y52" s="178">
        <f ca="1">IFERROR($X52/Overview!$D$32,0)</f>
        <v>0</v>
      </c>
      <c r="Z52" s="179">
        <f ca="1">IFERROR($X52/Overview!$D$31,0)</f>
        <v>0</v>
      </c>
      <c r="AA52" s="177">
        <f ca="1">IFERROR($X52/$X$20,0)</f>
        <v>0</v>
      </c>
      <c r="AB52" s="5"/>
      <c r="AC52" s="175" t="str">
        <f t="shared" si="1"/>
        <v>Cash Flow After Debt Service</v>
      </c>
      <c r="AD52" s="173"/>
      <c r="AE52" s="173"/>
      <c r="AF52" s="263"/>
      <c r="AG52" s="263"/>
      <c r="AH52" s="263"/>
      <c r="AI52" s="178">
        <f t="shared" ref="AI52:AW52" ca="1" si="35">AI42-AI50</f>
        <v>0</v>
      </c>
      <c r="AJ52" s="178">
        <f t="shared" ca="1" si="35"/>
        <v>0</v>
      </c>
      <c r="AK52" s="178">
        <f t="shared" ca="1" si="35"/>
        <v>0</v>
      </c>
      <c r="AL52" s="178">
        <f t="shared" ca="1" si="35"/>
        <v>0</v>
      </c>
      <c r="AM52" s="178">
        <f t="shared" ca="1" si="35"/>
        <v>0</v>
      </c>
      <c r="AN52" s="178">
        <f t="shared" ca="1" si="35"/>
        <v>0</v>
      </c>
      <c r="AO52" s="178">
        <f t="shared" ca="1" si="35"/>
        <v>0</v>
      </c>
      <c r="AP52" s="178">
        <f t="shared" ca="1" si="35"/>
        <v>0</v>
      </c>
      <c r="AQ52" s="178">
        <f t="shared" ca="1" si="35"/>
        <v>0</v>
      </c>
      <c r="AR52" s="178">
        <f t="shared" ca="1" si="35"/>
        <v>0</v>
      </c>
      <c r="AS52" s="178">
        <f t="shared" ca="1" si="35"/>
        <v>0</v>
      </c>
      <c r="AT52" s="178">
        <f t="shared" ca="1" si="35"/>
        <v>0</v>
      </c>
      <c r="AU52" s="178">
        <f t="shared" ca="1" si="35"/>
        <v>0</v>
      </c>
      <c r="AV52" s="178">
        <f t="shared" ca="1" si="35"/>
        <v>0</v>
      </c>
      <c r="AW52" s="264">
        <f t="shared" ca="1" si="35"/>
        <v>0</v>
      </c>
    </row>
    <row r="53" spans="2:49" ht="14.4" thickTop="1" x14ac:dyDescent="0.3">
      <c r="B53" s="45" t="s">
        <v>196</v>
      </c>
      <c r="C53" s="5"/>
      <c r="D53" s="5"/>
      <c r="E53" s="37"/>
      <c r="F53" s="229">
        <v>0</v>
      </c>
      <c r="G53" s="88">
        <f>IFERROR($F53/Overview!$D$32,0)</f>
        <v>0</v>
      </c>
      <c r="H53" s="107">
        <f>IFERROR($F53/Overview!$D$31,0)</f>
        <v>0</v>
      </c>
      <c r="I53" s="135">
        <f t="shared" si="33"/>
        <v>0</v>
      </c>
      <c r="J53" s="5"/>
      <c r="K53" s="119"/>
      <c r="L53" s="5"/>
      <c r="M53" s="167"/>
      <c r="N53" s="168"/>
      <c r="O53" s="164"/>
      <c r="P53" s="111" t="b">
        <f>P52=$P$58</f>
        <v>1</v>
      </c>
      <c r="Q53" s="88"/>
      <c r="R53" s="107"/>
      <c r="S53" s="135"/>
      <c r="T53" s="5"/>
      <c r="U53" s="244"/>
      <c r="V53" s="245"/>
      <c r="W53" s="246"/>
      <c r="X53" s="247"/>
      <c r="Y53" s="247"/>
      <c r="Z53" s="247"/>
      <c r="AA53" s="248"/>
      <c r="AB53" s="5"/>
      <c r="AC53" s="119" t="str">
        <f t="shared" si="1"/>
        <v/>
      </c>
      <c r="AD53" s="5"/>
      <c r="AE53" s="5"/>
      <c r="AF53" s="44"/>
      <c r="AG53" s="44"/>
      <c r="AH53" s="44"/>
      <c r="AI53" s="44"/>
      <c r="AJ53" s="44"/>
      <c r="AK53" s="44"/>
      <c r="AL53" s="44"/>
      <c r="AM53" s="44"/>
      <c r="AN53" s="44"/>
      <c r="AO53" s="44"/>
      <c r="AP53" s="44"/>
      <c r="AQ53" s="44"/>
      <c r="AR53" s="44"/>
      <c r="AS53" s="44"/>
      <c r="AT53" s="44"/>
      <c r="AU53" s="44"/>
      <c r="AV53" s="44"/>
      <c r="AW53" s="38"/>
    </row>
    <row r="54" spans="2:49" x14ac:dyDescent="0.3">
      <c r="B54" s="45" t="s">
        <v>197</v>
      </c>
      <c r="C54" s="5"/>
      <c r="D54" s="5"/>
      <c r="E54" s="37"/>
      <c r="F54" s="229">
        <v>0</v>
      </c>
      <c r="G54" s="88">
        <f>IFERROR($F54/Overview!$D$32,0)</f>
        <v>0</v>
      </c>
      <c r="H54" s="107">
        <f>IFERROR($F54/Overview!$D$31,0)</f>
        <v>0</v>
      </c>
      <c r="I54" s="135">
        <f t="shared" si="33"/>
        <v>0</v>
      </c>
      <c r="J54" s="5"/>
      <c r="K54" s="54" t="s">
        <v>76</v>
      </c>
      <c r="L54" s="55"/>
      <c r="M54" s="155"/>
      <c r="N54" s="149"/>
      <c r="O54" s="156"/>
      <c r="P54" s="159"/>
      <c r="Q54" s="128"/>
      <c r="R54" s="123"/>
      <c r="S54" s="137"/>
      <c r="T54" s="5"/>
      <c r="U54" s="54" t="s">
        <v>301</v>
      </c>
      <c r="V54" s="55"/>
      <c r="W54" s="56"/>
      <c r="X54" s="128"/>
      <c r="Y54" s="128"/>
      <c r="Z54" s="123"/>
      <c r="AA54" s="137"/>
      <c r="AB54" s="5"/>
      <c r="AC54" s="54" t="str">
        <f t="shared" si="1"/>
        <v>Return Metrics</v>
      </c>
      <c r="AD54" s="55"/>
      <c r="AE54" s="55"/>
      <c r="AF54" s="266" t="s">
        <v>302</v>
      </c>
      <c r="AG54" s="266"/>
      <c r="AH54" s="266"/>
      <c r="AI54" s="57"/>
      <c r="AJ54" s="57"/>
      <c r="AK54" s="57"/>
      <c r="AL54" s="57"/>
      <c r="AM54" s="57"/>
      <c r="AN54" s="57"/>
      <c r="AO54" s="57"/>
      <c r="AP54" s="57"/>
      <c r="AQ54" s="57"/>
      <c r="AR54" s="57"/>
      <c r="AS54" s="57"/>
      <c r="AT54" s="57"/>
      <c r="AU54" s="57"/>
      <c r="AV54" s="57"/>
      <c r="AW54" s="58"/>
    </row>
    <row r="55" spans="2:49" x14ac:dyDescent="0.3">
      <c r="B55" s="233" t="s">
        <v>198</v>
      </c>
      <c r="C55" s="234"/>
      <c r="D55" s="234"/>
      <c r="E55" s="212"/>
      <c r="F55" s="229">
        <v>0</v>
      </c>
      <c r="G55" s="88">
        <f>IFERROR($F55/Overview!$D$32,0)</f>
        <v>0</v>
      </c>
      <c r="H55" s="107">
        <f>IFERROR($F55/Overview!$D$31,0)</f>
        <v>0</v>
      </c>
      <c r="I55" s="135">
        <f t="shared" si="33"/>
        <v>0</v>
      </c>
      <c r="J55" s="5"/>
      <c r="K55" s="33" t="s">
        <v>199</v>
      </c>
      <c r="L55" s="5"/>
      <c r="M55" s="167"/>
      <c r="N55" s="168"/>
      <c r="O55" s="164"/>
      <c r="P55" s="202">
        <f>$F$20</f>
        <v>0</v>
      </c>
      <c r="Q55" s="88">
        <f>IFERROR($P55/Overview!$D$32,0)</f>
        <v>0</v>
      </c>
      <c r="R55" s="107">
        <f>IFERROR($P55/Overview!$D$31,0)</f>
        <v>0</v>
      </c>
      <c r="S55" s="135">
        <f>IFERROR($P55/$P$58,0)</f>
        <v>0</v>
      </c>
      <c r="T55" s="5"/>
      <c r="U55" s="33" t="s">
        <v>303</v>
      </c>
      <c r="V55" s="5"/>
      <c r="W55" s="37"/>
      <c r="X55" s="251" t="str">
        <f ca="1">IFERROR($X$42/$P$58,"NA")</f>
        <v>NA</v>
      </c>
      <c r="Y55" s="88"/>
      <c r="Z55" s="107"/>
      <c r="AA55" s="135"/>
      <c r="AB55" s="5"/>
      <c r="AC55" s="33" t="s">
        <v>303</v>
      </c>
      <c r="AD55" s="5"/>
      <c r="AE55" s="5"/>
      <c r="AF55" s="254">
        <f ca="1">IFERROR(AVERAGE(AH55:AV55),0)</f>
        <v>0</v>
      </c>
      <c r="AG55" s="254"/>
      <c r="AH55" s="254"/>
      <c r="AI55" s="254" t="str">
        <f t="shared" ref="AI55:AW55" ca="1" si="36">IFERROR(AI$42/$P$58,"NA")</f>
        <v>NA</v>
      </c>
      <c r="AJ55" s="254" t="str">
        <f t="shared" ca="1" si="36"/>
        <v>NA</v>
      </c>
      <c r="AK55" s="254" t="str">
        <f t="shared" ca="1" si="36"/>
        <v>NA</v>
      </c>
      <c r="AL55" s="254" t="str">
        <f t="shared" ca="1" si="36"/>
        <v>NA</v>
      </c>
      <c r="AM55" s="254" t="str">
        <f t="shared" ca="1" si="36"/>
        <v>NA</v>
      </c>
      <c r="AN55" s="254" t="str">
        <f t="shared" ca="1" si="36"/>
        <v>NA</v>
      </c>
      <c r="AO55" s="254" t="str">
        <f t="shared" ca="1" si="36"/>
        <v>NA</v>
      </c>
      <c r="AP55" s="254" t="str">
        <f t="shared" ca="1" si="36"/>
        <v>NA</v>
      </c>
      <c r="AQ55" s="254" t="str">
        <f t="shared" ca="1" si="36"/>
        <v>NA</v>
      </c>
      <c r="AR55" s="254" t="str">
        <f t="shared" ca="1" si="36"/>
        <v>NA</v>
      </c>
      <c r="AS55" s="254" t="str">
        <f t="shared" ca="1" si="36"/>
        <v>NA</v>
      </c>
      <c r="AT55" s="254" t="str">
        <f t="shared" ca="1" si="36"/>
        <v>NA</v>
      </c>
      <c r="AU55" s="254" t="str">
        <f t="shared" ca="1" si="36"/>
        <v>NA</v>
      </c>
      <c r="AV55" s="254" t="str">
        <f t="shared" ca="1" si="36"/>
        <v>NA</v>
      </c>
      <c r="AW55" s="250" t="str">
        <f t="shared" ca="1" si="36"/>
        <v>NA</v>
      </c>
    </row>
    <row r="56" spans="2:49" x14ac:dyDescent="0.3">
      <c r="B56" s="62" t="s">
        <v>200</v>
      </c>
      <c r="C56" s="53"/>
      <c r="D56" s="53"/>
      <c r="E56" s="51"/>
      <c r="F56" s="94">
        <f>SUM(F49:F55)</f>
        <v>0</v>
      </c>
      <c r="G56" s="94">
        <f>IFERROR($F56/Overview!$D$32,0)</f>
        <v>0</v>
      </c>
      <c r="H56" s="93">
        <f>IFERROR($F56/Overview!$D$31,0)</f>
        <v>0</v>
      </c>
      <c r="I56" s="138">
        <f t="shared" si="33"/>
        <v>0</v>
      </c>
      <c r="J56" s="5"/>
      <c r="K56" s="33" t="s">
        <v>78</v>
      </c>
      <c r="L56" s="5"/>
      <c r="M56" s="167"/>
      <c r="N56" s="168"/>
      <c r="O56" s="164"/>
      <c r="P56" s="202">
        <f>$F$45</f>
        <v>0</v>
      </c>
      <c r="Q56" s="88">
        <f>IFERROR($P56/Overview!$D$32,0)</f>
        <v>0</v>
      </c>
      <c r="R56" s="107">
        <f>IFERROR($P56/Overview!$D$31,0)</f>
        <v>0</v>
      </c>
      <c r="S56" s="135">
        <f>IFERROR($P56/$P$58,0)</f>
        <v>0</v>
      </c>
      <c r="T56" s="5"/>
      <c r="U56" s="33" t="s">
        <v>304</v>
      </c>
      <c r="V56" s="5"/>
      <c r="W56" s="37"/>
      <c r="X56" s="251" t="str">
        <f ca="1">IFERROR($X$52/SUM($P$29:$P$30),"NA")</f>
        <v>NA</v>
      </c>
      <c r="Y56" s="88"/>
      <c r="Z56" s="107"/>
      <c r="AA56" s="135"/>
      <c r="AB56" s="5"/>
      <c r="AC56" s="33" t="s">
        <v>305</v>
      </c>
      <c r="AD56" s="5"/>
      <c r="AE56" s="5"/>
      <c r="AF56" s="254">
        <f ca="1">IFERROR(AVERAGE(AH56:AV56),0)</f>
        <v>0</v>
      </c>
      <c r="AG56" s="254"/>
      <c r="AH56" s="254"/>
      <c r="AI56" s="182" t="str">
        <f t="shared" ref="AI56:AW56" ca="1" si="37">IFERROR(AI$52/SUM($P$29:$P$30),"NA")</f>
        <v>NA</v>
      </c>
      <c r="AJ56" s="182" t="str">
        <f t="shared" ca="1" si="37"/>
        <v>NA</v>
      </c>
      <c r="AK56" s="182" t="str">
        <f t="shared" ca="1" si="37"/>
        <v>NA</v>
      </c>
      <c r="AL56" s="182" t="str">
        <f t="shared" ca="1" si="37"/>
        <v>NA</v>
      </c>
      <c r="AM56" s="182" t="str">
        <f t="shared" ca="1" si="37"/>
        <v>NA</v>
      </c>
      <c r="AN56" s="182" t="str">
        <f t="shared" ca="1" si="37"/>
        <v>NA</v>
      </c>
      <c r="AO56" s="182" t="str">
        <f t="shared" ca="1" si="37"/>
        <v>NA</v>
      </c>
      <c r="AP56" s="182" t="str">
        <f t="shared" ca="1" si="37"/>
        <v>NA</v>
      </c>
      <c r="AQ56" s="182" t="str">
        <f t="shared" ca="1" si="37"/>
        <v>NA</v>
      </c>
      <c r="AR56" s="182" t="str">
        <f t="shared" ca="1" si="37"/>
        <v>NA</v>
      </c>
      <c r="AS56" s="182" t="str">
        <f t="shared" ca="1" si="37"/>
        <v>NA</v>
      </c>
      <c r="AT56" s="182" t="str">
        <f t="shared" ca="1" si="37"/>
        <v>NA</v>
      </c>
      <c r="AU56" s="182" t="str">
        <f t="shared" ca="1" si="37"/>
        <v>NA</v>
      </c>
      <c r="AV56" s="182" t="str">
        <f t="shared" ca="1" si="37"/>
        <v>NA</v>
      </c>
      <c r="AW56" s="265" t="str">
        <f t="shared" ca="1" si="37"/>
        <v>NA</v>
      </c>
    </row>
    <row r="57" spans="2:49" x14ac:dyDescent="0.3">
      <c r="B57" s="33"/>
      <c r="C57" s="5"/>
      <c r="D57" s="5"/>
      <c r="E57" s="37"/>
      <c r="F57" s="88"/>
      <c r="G57" s="88"/>
      <c r="H57" s="107"/>
      <c r="I57" s="135"/>
      <c r="J57" s="5"/>
      <c r="K57" s="33" t="s">
        <v>79</v>
      </c>
      <c r="L57" s="5"/>
      <c r="M57" s="167"/>
      <c r="N57" s="168"/>
      <c r="O57" s="164"/>
      <c r="P57" s="202">
        <f>$F$115</f>
        <v>0</v>
      </c>
      <c r="Q57" s="88">
        <f>IFERROR($P57/Overview!$D$32,0)</f>
        <v>0</v>
      </c>
      <c r="R57" s="107">
        <f>IFERROR($P57/Overview!$D$31,0)</f>
        <v>0</v>
      </c>
      <c r="S57" s="135">
        <f>IFERROR($P57/$P$58,0)</f>
        <v>0</v>
      </c>
      <c r="T57" s="5"/>
      <c r="U57" s="33" t="s">
        <v>306</v>
      </c>
      <c r="V57" s="5"/>
      <c r="W57" s="37"/>
      <c r="X57" s="251" t="str">
        <f>IFERROR($X$50/SUM($P$37:$P$40),"NA")</f>
        <v>NA</v>
      </c>
      <c r="Y57" s="88"/>
      <c r="Z57" s="107"/>
      <c r="AA57" s="135"/>
      <c r="AB57" s="5"/>
      <c r="AC57" s="33" t="s">
        <v>306</v>
      </c>
      <c r="AD57" s="5"/>
      <c r="AE57" s="5"/>
      <c r="AF57" s="254">
        <f>IFERROR(AVERAGE(AH57:AV57),0)</f>
        <v>0</v>
      </c>
      <c r="AG57" s="254"/>
      <c r="AH57" s="254"/>
      <c r="AI57" s="254" t="str">
        <f t="shared" ref="AI57:AW57" si="38">IFERROR(AI$50/SUM($P$37:$P$40),"NA")</f>
        <v>NA</v>
      </c>
      <c r="AJ57" s="254" t="str">
        <f t="shared" si="38"/>
        <v>NA</v>
      </c>
      <c r="AK57" s="254" t="str">
        <f t="shared" si="38"/>
        <v>NA</v>
      </c>
      <c r="AL57" s="254" t="str">
        <f t="shared" si="38"/>
        <v>NA</v>
      </c>
      <c r="AM57" s="254" t="str">
        <f t="shared" si="38"/>
        <v>NA</v>
      </c>
      <c r="AN57" s="254" t="str">
        <f t="shared" si="38"/>
        <v>NA</v>
      </c>
      <c r="AO57" s="254" t="str">
        <f t="shared" si="38"/>
        <v>NA</v>
      </c>
      <c r="AP57" s="254" t="str">
        <f t="shared" si="38"/>
        <v>NA</v>
      </c>
      <c r="AQ57" s="254" t="str">
        <f t="shared" si="38"/>
        <v>NA</v>
      </c>
      <c r="AR57" s="254" t="str">
        <f t="shared" si="38"/>
        <v>NA</v>
      </c>
      <c r="AS57" s="254" t="str">
        <f t="shared" si="38"/>
        <v>NA</v>
      </c>
      <c r="AT57" s="254" t="str">
        <f t="shared" si="38"/>
        <v>NA</v>
      </c>
      <c r="AU57" s="254" t="str">
        <f t="shared" si="38"/>
        <v>NA</v>
      </c>
      <c r="AV57" s="254" t="str">
        <f t="shared" si="38"/>
        <v>NA</v>
      </c>
      <c r="AW57" s="250" t="str">
        <f t="shared" si="38"/>
        <v>NA</v>
      </c>
    </row>
    <row r="58" spans="2:49" x14ac:dyDescent="0.3">
      <c r="B58" s="63" t="s">
        <v>201</v>
      </c>
      <c r="C58" s="5"/>
      <c r="D58" s="5"/>
      <c r="E58" s="37"/>
      <c r="F58" s="88"/>
      <c r="G58" s="88"/>
      <c r="H58" s="107"/>
      <c r="I58" s="135"/>
      <c r="J58" s="5"/>
      <c r="K58" s="50" t="s">
        <v>80</v>
      </c>
      <c r="L58" s="53"/>
      <c r="M58" s="169"/>
      <c r="N58" s="170"/>
      <c r="O58" s="171"/>
      <c r="P58" s="112">
        <f>SUM(P55:P57)</f>
        <v>0</v>
      </c>
      <c r="Q58" s="94">
        <f>IFERROR($P58/Overview!$D$32,0)</f>
        <v>0</v>
      </c>
      <c r="R58" s="93">
        <f>IFERROR($P58/Overview!$D$31,0)</f>
        <v>0</v>
      </c>
      <c r="S58" s="138">
        <f>IFERROR($P58/$P$58,0)</f>
        <v>0</v>
      </c>
      <c r="T58" s="5"/>
      <c r="U58" s="33"/>
      <c r="V58" s="5"/>
      <c r="W58" s="37"/>
      <c r="X58" s="251"/>
      <c r="Y58" s="88"/>
      <c r="Z58" s="107"/>
      <c r="AA58" s="135"/>
      <c r="AB58" s="5"/>
      <c r="AC58" s="33" t="s">
        <v>297</v>
      </c>
      <c r="AD58" s="5"/>
      <c r="AE58" s="5"/>
      <c r="AF58" s="339">
        <f ca="1">AVERAGE(AI43:AW43)</f>
        <v>0</v>
      </c>
      <c r="AG58" s="254"/>
      <c r="AH58" s="254"/>
      <c r="AI58" s="254"/>
      <c r="AJ58" s="254"/>
      <c r="AK58" s="254"/>
      <c r="AL58" s="254"/>
      <c r="AM58" s="254"/>
      <c r="AN58" s="254"/>
      <c r="AO58" s="254"/>
      <c r="AP58" s="254"/>
      <c r="AQ58" s="254"/>
      <c r="AR58" s="254"/>
      <c r="AS58" s="254"/>
      <c r="AT58" s="254"/>
      <c r="AU58" s="254"/>
      <c r="AV58" s="254"/>
      <c r="AW58" s="250"/>
    </row>
    <row r="59" spans="2:49" x14ac:dyDescent="0.3">
      <c r="B59" s="45" t="s">
        <v>202</v>
      </c>
      <c r="C59" s="5"/>
      <c r="D59" s="5"/>
      <c r="E59" s="37"/>
      <c r="F59" s="229">
        <v>0</v>
      </c>
      <c r="G59" s="88">
        <f>IFERROR($F59/Overview!$D$32,0)</f>
        <v>0</v>
      </c>
      <c r="H59" s="107">
        <f>IFERROR($F59/Overview!$D$31,0)</f>
        <v>0</v>
      </c>
      <c r="I59" s="135">
        <f t="shared" ref="I59:I65" si="39">IFERROR($F59/$F$117,0)</f>
        <v>0</v>
      </c>
      <c r="J59" s="5"/>
      <c r="K59" s="34"/>
      <c r="L59" s="35"/>
      <c r="M59" s="109"/>
      <c r="N59" s="110"/>
      <c r="O59" s="172"/>
      <c r="P59" s="160"/>
      <c r="Q59" s="132"/>
      <c r="R59" s="127"/>
      <c r="S59" s="141"/>
      <c r="T59" s="5"/>
      <c r="U59" s="205"/>
      <c r="V59" s="35"/>
      <c r="W59" s="39"/>
      <c r="X59" s="252"/>
      <c r="Y59" s="132"/>
      <c r="Z59" s="127"/>
      <c r="AA59" s="141"/>
      <c r="AB59" s="5"/>
      <c r="AC59" s="34" t="str">
        <f>IF(U59=0,"",U59)</f>
        <v/>
      </c>
      <c r="AD59" s="35"/>
      <c r="AE59" s="35"/>
      <c r="AF59" s="46"/>
      <c r="AG59" s="46"/>
      <c r="AH59" s="46"/>
      <c r="AI59" s="46"/>
      <c r="AJ59" s="46"/>
      <c r="AK59" s="46"/>
      <c r="AL59" s="46"/>
      <c r="AM59" s="46"/>
      <c r="AN59" s="46"/>
      <c r="AO59" s="46"/>
      <c r="AP59" s="46"/>
      <c r="AQ59" s="46"/>
      <c r="AR59" s="46"/>
      <c r="AS59" s="46"/>
      <c r="AT59" s="46"/>
      <c r="AU59" s="46"/>
      <c r="AV59" s="46"/>
      <c r="AW59" s="40"/>
    </row>
    <row r="60" spans="2:49" x14ac:dyDescent="0.3">
      <c r="B60" s="45" t="s">
        <v>203</v>
      </c>
      <c r="C60" s="5"/>
      <c r="D60" s="5"/>
      <c r="E60" s="37"/>
      <c r="F60" s="229">
        <v>0</v>
      </c>
      <c r="G60" s="88">
        <f>IFERROR($F60/Overview!$D$32,0)</f>
        <v>0</v>
      </c>
      <c r="H60" s="107">
        <f>IFERROR($F60/Overview!$D$31,0)</f>
        <v>0</v>
      </c>
      <c r="I60" s="135">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45" t="s">
        <v>204</v>
      </c>
      <c r="C61" s="5"/>
      <c r="D61" s="5"/>
      <c r="E61" s="37"/>
      <c r="F61" s="229">
        <v>0</v>
      </c>
      <c r="G61" s="88">
        <f>IFERROR($F61/Overview!$D$32,0)</f>
        <v>0</v>
      </c>
      <c r="H61" s="107">
        <f>IFERROR($F61/Overview!$D$31,0)</f>
        <v>0</v>
      </c>
      <c r="I61" s="135">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45" t="s">
        <v>205</v>
      </c>
      <c r="C62" s="5"/>
      <c r="D62" s="5"/>
      <c r="E62" s="37"/>
      <c r="F62" s="229">
        <v>0</v>
      </c>
      <c r="G62" s="88">
        <f>IFERROR($F62/Overview!$D$32,0)</f>
        <v>0</v>
      </c>
      <c r="H62" s="107">
        <f>IFERROR($F62/Overview!$D$31,0)</f>
        <v>0</v>
      </c>
      <c r="I62" s="135">
        <f t="shared" si="39"/>
        <v>0</v>
      </c>
      <c r="J62" s="5"/>
      <c r="K62" s="5"/>
      <c r="L62" s="5"/>
      <c r="M62" s="5"/>
      <c r="N62" s="5"/>
      <c r="O62" s="5"/>
      <c r="P62" s="90" t="s">
        <v>307</v>
      </c>
      <c r="Q62" s="272">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45" t="s">
        <v>207</v>
      </c>
      <c r="C63" s="5"/>
      <c r="D63" s="5"/>
      <c r="E63" s="37"/>
      <c r="F63" s="229">
        <v>0</v>
      </c>
      <c r="G63" s="88">
        <f>IFERROR($F63/Overview!$D$32,0)</f>
        <v>0</v>
      </c>
      <c r="H63" s="107">
        <f>IFERROR($F63/Overview!$D$31,0)</f>
        <v>0</v>
      </c>
      <c r="I63" s="135">
        <f t="shared" si="39"/>
        <v>0</v>
      </c>
      <c r="J63" s="5"/>
      <c r="K63" s="5"/>
      <c r="L63" s="5"/>
      <c r="M63" s="5"/>
      <c r="N63" s="5"/>
      <c r="O63" s="5"/>
      <c r="P63" s="5"/>
      <c r="Q63" s="5"/>
      <c r="R63" s="273">
        <v>1</v>
      </c>
      <c r="S63" s="273">
        <v>2</v>
      </c>
      <c r="T63" s="273">
        <v>3</v>
      </c>
      <c r="U63" s="273">
        <v>4</v>
      </c>
      <c r="V63" s="273">
        <v>5</v>
      </c>
      <c r="W63" s="273">
        <v>6</v>
      </c>
      <c r="X63" s="273">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33" t="s">
        <v>210</v>
      </c>
      <c r="C64" s="234"/>
      <c r="D64" s="234"/>
      <c r="E64" s="212"/>
      <c r="F64" s="229">
        <v>0</v>
      </c>
      <c r="G64" s="88">
        <f>IFERROR($F64/Overview!$D$32,0)</f>
        <v>0</v>
      </c>
      <c r="H64" s="107">
        <f>IFERROR($F64/Overview!$D$31,0)</f>
        <v>0</v>
      </c>
      <c r="I64" s="135">
        <f t="shared" si="39"/>
        <v>0</v>
      </c>
      <c r="J64" s="5"/>
      <c r="K64" s="41" t="s">
        <v>308</v>
      </c>
      <c r="L64" s="42"/>
      <c r="M64" s="42"/>
      <c r="N64" s="43"/>
      <c r="O64" s="5"/>
      <c r="P64" s="41" t="s">
        <v>309</v>
      </c>
      <c r="Q64" s="42"/>
      <c r="R64" s="42"/>
      <c r="S64" s="42"/>
      <c r="T64" s="42"/>
      <c r="U64" s="42"/>
      <c r="V64" s="42"/>
      <c r="W64" s="42"/>
      <c r="X64" s="43"/>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62" t="s">
        <v>211</v>
      </c>
      <c r="C65" s="53"/>
      <c r="D65" s="53"/>
      <c r="E65" s="51"/>
      <c r="F65" s="94">
        <f>SUM(F59:F64)</f>
        <v>0</v>
      </c>
      <c r="G65" s="94">
        <f>IFERROR($F65/Overview!$D$32,0)</f>
        <v>0</v>
      </c>
      <c r="H65" s="93">
        <f>IFERROR($F65/Overview!$D$31,0)</f>
        <v>0</v>
      </c>
      <c r="I65" s="138">
        <f t="shared" si="39"/>
        <v>0</v>
      </c>
      <c r="J65" s="5"/>
      <c r="K65" s="470" t="s">
        <v>29</v>
      </c>
      <c r="L65" s="517"/>
      <c r="M65" s="471"/>
      <c r="N65" s="454" t="s">
        <v>310</v>
      </c>
      <c r="O65" s="3"/>
      <c r="P65" s="470" t="s">
        <v>29</v>
      </c>
      <c r="Q65" s="517"/>
      <c r="R65" s="454" t="s">
        <v>311</v>
      </c>
      <c r="S65" s="454" t="s">
        <v>312</v>
      </c>
      <c r="T65" s="454" t="s">
        <v>313</v>
      </c>
      <c r="U65" s="454" t="s">
        <v>314</v>
      </c>
      <c r="V65" s="454" t="s">
        <v>315</v>
      </c>
      <c r="W65" s="454" t="s">
        <v>316</v>
      </c>
      <c r="X65" s="454" t="s">
        <v>317</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33"/>
      <c r="C66" s="5"/>
      <c r="D66" s="5"/>
      <c r="E66" s="37"/>
      <c r="F66" s="88"/>
      <c r="G66" s="88"/>
      <c r="H66" s="107"/>
      <c r="I66" s="135"/>
      <c r="J66" s="5"/>
      <c r="K66" s="497"/>
      <c r="L66" s="518"/>
      <c r="M66" s="498"/>
      <c r="N66" s="455"/>
      <c r="O66" s="3"/>
      <c r="P66" s="497"/>
      <c r="Q66" s="518"/>
      <c r="R66" s="455"/>
      <c r="S66" s="455"/>
      <c r="T66" s="455"/>
      <c r="U66" s="455"/>
      <c r="V66" s="455"/>
      <c r="W66" s="455"/>
      <c r="X66" s="455"/>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63" t="s">
        <v>213</v>
      </c>
      <c r="C67" s="5"/>
      <c r="D67" s="5"/>
      <c r="E67" s="37"/>
      <c r="F67" s="88"/>
      <c r="G67" s="88"/>
      <c r="H67" s="107"/>
      <c r="I67" s="135"/>
      <c r="J67" s="5"/>
      <c r="K67" s="499"/>
      <c r="L67" s="519"/>
      <c r="M67" s="500"/>
      <c r="N67" s="456"/>
      <c r="O67" s="3"/>
      <c r="P67" s="499"/>
      <c r="Q67" s="519"/>
      <c r="R67" s="456"/>
      <c r="S67" s="456"/>
      <c r="T67" s="456"/>
      <c r="U67" s="456"/>
      <c r="V67" s="456"/>
      <c r="W67" s="456"/>
      <c r="X67" s="456"/>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45" t="s">
        <v>215</v>
      </c>
      <c r="C68" s="5"/>
      <c r="D68" s="5"/>
      <c r="E68" s="37"/>
      <c r="F68" s="229">
        <v>0</v>
      </c>
      <c r="G68" s="88">
        <f>IFERROR($F68/Overview!$D$32,0)</f>
        <v>0</v>
      </c>
      <c r="H68" s="107">
        <f>IFERROR($F68/Overview!$D$31,0)</f>
        <v>0</v>
      </c>
      <c r="I68" s="135">
        <f>IFERROR($F68/$F$117,0)</f>
        <v>0</v>
      </c>
      <c r="J68" s="5"/>
      <c r="K68" s="31" t="s">
        <v>318</v>
      </c>
      <c r="L68" s="32"/>
      <c r="M68" s="524"/>
      <c r="N68" s="525"/>
      <c r="O68" s="5"/>
      <c r="P68" s="151" t="s">
        <v>319</v>
      </c>
      <c r="Q68" s="145"/>
      <c r="R68" s="147"/>
      <c r="S68" s="147"/>
      <c r="T68" s="147"/>
      <c r="U68" s="147"/>
      <c r="V68" s="147"/>
      <c r="W68" s="319"/>
      <c r="X68" s="148"/>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33" t="s">
        <v>217</v>
      </c>
      <c r="C69" s="234"/>
      <c r="D69" s="234"/>
      <c r="E69" s="212"/>
      <c r="F69" s="229">
        <v>0</v>
      </c>
      <c r="G69" s="88">
        <f>IFERROR($F69/Overview!$D$32,0)</f>
        <v>0</v>
      </c>
      <c r="H69" s="107">
        <f>IFERROR($F69/Overview!$D$31,0)</f>
        <v>0</v>
      </c>
      <c r="I69" s="135">
        <f>IFERROR($F69/$F$117,0)</f>
        <v>0</v>
      </c>
      <c r="J69" s="5"/>
      <c r="K69" s="119"/>
      <c r="L69" s="5"/>
      <c r="M69" s="526"/>
      <c r="N69" s="527"/>
      <c r="O69" s="5"/>
      <c r="P69" s="33" t="s">
        <v>320</v>
      </c>
      <c r="Q69" s="37"/>
      <c r="R69" s="150" t="s">
        <v>132</v>
      </c>
      <c r="S69" s="150" t="s">
        <v>321</v>
      </c>
      <c r="T69" s="213" t="s">
        <v>321</v>
      </c>
      <c r="U69" s="213" t="s">
        <v>321</v>
      </c>
      <c r="V69" s="213" t="s">
        <v>321</v>
      </c>
      <c r="W69" s="434" t="s">
        <v>321</v>
      </c>
      <c r="X69" s="223" t="s">
        <v>321</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62" t="s">
        <v>221</v>
      </c>
      <c r="C70" s="53"/>
      <c r="D70" s="53"/>
      <c r="E70" s="51"/>
      <c r="F70" s="94">
        <f>SUM(F68:F69)</f>
        <v>0</v>
      </c>
      <c r="G70" s="94">
        <f>IFERROR($F70/Overview!$D$32,0)</f>
        <v>0</v>
      </c>
      <c r="H70" s="93">
        <f>IFERROR($F70/Overview!$D$31,0)</f>
        <v>0</v>
      </c>
      <c r="I70" s="138">
        <f>IFERROR($F70/$F$117,0)</f>
        <v>0</v>
      </c>
      <c r="J70" s="5"/>
      <c r="K70" s="120" t="s">
        <v>322</v>
      </c>
      <c r="L70" s="117"/>
      <c r="M70" s="520"/>
      <c r="N70" s="521"/>
      <c r="O70" s="5"/>
      <c r="P70" s="33" t="s">
        <v>323</v>
      </c>
      <c r="Q70" s="37"/>
      <c r="R70" s="181" t="s">
        <v>131</v>
      </c>
      <c r="S70" s="181" t="s">
        <v>131</v>
      </c>
      <c r="T70" s="181" t="s">
        <v>131</v>
      </c>
      <c r="U70" s="213" t="s">
        <v>131</v>
      </c>
      <c r="V70" s="150" t="str">
        <f>INDEX(List!$K$5:$K$10,MATCH(Overview!$F$18,List!$J$5:$J$10,0))</f>
        <v>NA</v>
      </c>
      <c r="W70" s="323" t="str">
        <f>INDEX(List!$K$5:$K$10,MATCH(Overview!$F$18,List!$J$5:$J$10,0))</f>
        <v>NA</v>
      </c>
      <c r="X70" s="73" t="str">
        <f>INDEX(List!$K$5:$K$10,MATCH(Overview!$F$18,List!$J$5:$J$10,0))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33"/>
      <c r="C71" s="5"/>
      <c r="D71" s="5"/>
      <c r="E71" s="37"/>
      <c r="F71" s="88"/>
      <c r="G71" s="88"/>
      <c r="H71" s="107"/>
      <c r="I71" s="135"/>
      <c r="J71" s="5"/>
      <c r="K71" s="119"/>
      <c r="L71" s="5"/>
      <c r="M71" s="522"/>
      <c r="N71" s="523"/>
      <c r="O71" s="5"/>
      <c r="P71" s="33" t="s">
        <v>324</v>
      </c>
      <c r="Q71" s="37"/>
      <c r="R71" s="181" t="s">
        <v>131</v>
      </c>
      <c r="S71" s="181" t="s">
        <v>131</v>
      </c>
      <c r="T71" s="181" t="s">
        <v>131</v>
      </c>
      <c r="U71" s="181" t="s">
        <v>131</v>
      </c>
      <c r="V71" s="182" t="str">
        <f>X71</f>
        <v>TBD</v>
      </c>
      <c r="W71" s="329" t="str">
        <f>X71</f>
        <v>TBD</v>
      </c>
      <c r="X71" s="230" t="s">
        <v>325</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63" t="s">
        <v>223</v>
      </c>
      <c r="C72" s="5"/>
      <c r="D72" s="5"/>
      <c r="E72" s="37"/>
      <c r="F72" s="88"/>
      <c r="G72" s="88"/>
      <c r="H72" s="107"/>
      <c r="I72" s="135"/>
      <c r="J72" s="5"/>
      <c r="K72" s="121"/>
      <c r="L72" s="117"/>
      <c r="M72" s="118"/>
      <c r="N72" s="122"/>
      <c r="O72" s="5"/>
      <c r="P72" s="33" t="s">
        <v>222</v>
      </c>
      <c r="Q72" s="37"/>
      <c r="R72" s="181" t="s">
        <v>131</v>
      </c>
      <c r="S72" s="181" t="s">
        <v>131</v>
      </c>
      <c r="T72" s="181" t="s">
        <v>131</v>
      </c>
      <c r="U72" s="181" t="s">
        <v>131</v>
      </c>
      <c r="V72" s="150" t="s">
        <v>208</v>
      </c>
      <c r="W72" s="323" t="s">
        <v>326</v>
      </c>
      <c r="X72" s="73" t="s">
        <v>327</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45" t="s">
        <v>225</v>
      </c>
      <c r="C73" s="5"/>
      <c r="D73" s="5"/>
      <c r="E73" s="37"/>
      <c r="F73" s="229">
        <v>0</v>
      </c>
      <c r="G73" s="88">
        <f>IFERROR($F73/Overview!$D$32,0)</f>
        <v>0</v>
      </c>
      <c r="H73" s="107">
        <f>IFERROR($F73/Overview!$D$31,0)</f>
        <v>0</v>
      </c>
      <c r="I73" s="135">
        <f t="shared" ref="I73:I82" si="40">IFERROR($F73/$F$117,0)</f>
        <v>0</v>
      </c>
      <c r="J73" s="5"/>
      <c r="K73" s="33" t="s">
        <v>328</v>
      </c>
      <c r="L73" s="5"/>
      <c r="M73" s="44"/>
      <c r="N73" s="249"/>
      <c r="O73" s="5"/>
      <c r="P73" s="33" t="s">
        <v>329</v>
      </c>
      <c r="Q73" s="37"/>
      <c r="R73" s="181" t="s">
        <v>131</v>
      </c>
      <c r="S73" s="181" t="s">
        <v>131</v>
      </c>
      <c r="T73" s="181" t="s">
        <v>131</v>
      </c>
      <c r="U73" s="181" t="s">
        <v>131</v>
      </c>
      <c r="V73" s="324" t="str">
        <f ca="1">IFERROR(SUMIFS(INDIRECT(_xlfn.CONCAT("'Data'!",ADDRESS(32,MATCH(V$70,Data!31:31,0),1),":",ADDRESS(42,MATCH(V$70,Data!31:31,0),1))),Data!$L$32:$L$42,ROUNDUP('Rent Roll'!$K$124,1)),"NA")</f>
        <v>NA</v>
      </c>
      <c r="W73" s="324" t="str">
        <f ca="1">IFERROR(SUMIFS(INDIRECT(_xlfn.CONCAT("'Data'!",ADDRESS(32,MATCH(W$70,Data!31:31,0),1),":",ADDRESS(42,MATCH(W$70,Data!31:31,0),1))),Data!$L$32:$L$42,ROUNDUP('Rent Roll'!$K$124,1)),"NA")</f>
        <v>NA</v>
      </c>
      <c r="X73" s="250" t="str">
        <f ca="1">IFERROR(SUMIFS(INDIRECT(_xlfn.CONCAT("'Data'!",ADDRESS(32,MATCH(X$70,Data!31:31,0),1),":",ADDRESS(42,MATCH(X$70,Data!31:31,0),1))),Data!$L$32:$L$42,ROUNDUP('Rent Roll'!$K$124,1)),"NA")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45" t="s">
        <v>227</v>
      </c>
      <c r="C74" s="5"/>
      <c r="D74" s="5"/>
      <c r="E74" s="37"/>
      <c r="F74" s="229">
        <v>0</v>
      </c>
      <c r="G74" s="88">
        <f>IFERROR($F74/Overview!$D$32,0)</f>
        <v>0</v>
      </c>
      <c r="H74" s="107">
        <f>IFERROR($F74/Overview!$D$31,0)</f>
        <v>0</v>
      </c>
      <c r="I74" s="135">
        <f t="shared" si="40"/>
        <v>0</v>
      </c>
      <c r="J74" s="5"/>
      <c r="K74" s="33" t="s">
        <v>330</v>
      </c>
      <c r="L74" s="5"/>
      <c r="M74" s="44"/>
      <c r="N74" s="226"/>
      <c r="O74" s="5"/>
      <c r="P74" s="119"/>
      <c r="Q74" s="37"/>
      <c r="R74" s="44"/>
      <c r="S74" s="44"/>
      <c r="T74" s="44"/>
      <c r="U74" s="44"/>
      <c r="V74" s="44"/>
      <c r="W74" s="321"/>
      <c r="X74" s="38"/>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45" t="s">
        <v>229</v>
      </c>
      <c r="C75" s="5"/>
      <c r="D75" s="5"/>
      <c r="E75" s="37"/>
      <c r="F75" s="229">
        <v>0</v>
      </c>
      <c r="G75" s="88">
        <f>IFERROR($F75/Overview!$D$32,0)</f>
        <v>0</v>
      </c>
      <c r="H75" s="107">
        <f>IFERROR($F75/Overview!$D$31,0)</f>
        <v>0</v>
      </c>
      <c r="I75" s="135">
        <f t="shared" si="40"/>
        <v>0</v>
      </c>
      <c r="J75" s="5"/>
      <c r="K75" s="33" t="s">
        <v>331</v>
      </c>
      <c r="L75" s="5"/>
      <c r="M75" s="44"/>
      <c r="N75" s="226"/>
      <c r="O75" s="5"/>
      <c r="P75" s="54" t="s">
        <v>233</v>
      </c>
      <c r="Q75" s="56"/>
      <c r="R75" s="57"/>
      <c r="S75" s="57"/>
      <c r="T75" s="57"/>
      <c r="U75" s="57"/>
      <c r="V75" s="57"/>
      <c r="W75" s="322"/>
      <c r="X75" s="58"/>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45" t="s">
        <v>231</v>
      </c>
      <c r="C76" s="5"/>
      <c r="D76" s="5"/>
      <c r="E76" s="37"/>
      <c r="F76" s="229">
        <v>0</v>
      </c>
      <c r="G76" s="88">
        <f>IFERROR($F76/Overview!$D$32,0)</f>
        <v>0</v>
      </c>
      <c r="H76" s="107">
        <f>IFERROR($F76/Overview!$D$31,0)</f>
        <v>0</v>
      </c>
      <c r="I76" s="135">
        <f t="shared" si="40"/>
        <v>0</v>
      </c>
      <c r="J76" s="5"/>
      <c r="K76" s="45"/>
      <c r="L76" s="5"/>
      <c r="M76" s="44"/>
      <c r="N76" s="75"/>
      <c r="O76" s="5"/>
      <c r="P76" s="33" t="s">
        <v>332</v>
      </c>
      <c r="Q76" s="37"/>
      <c r="R76" s="229">
        <v>0</v>
      </c>
      <c r="S76" s="88">
        <f ca="1">$N$78*(Data!$V$49/1000)</f>
        <v>0</v>
      </c>
      <c r="T76" s="88">
        <f ca="1">IF(T$69="Y",$N$80*(Data!$V$49/1000),SUM($N$80-$N$78,$N$79)*(Data!$V$49/1000))</f>
        <v>0</v>
      </c>
      <c r="U76" s="88">
        <f ca="1">IF(U$69="N",$N$79*(Data!$V$49/1000),
IF(OR($U$70="PA-210",$U$70="OPRA",$U$70="OPRA +",$U$70="NEZ-R"),SUM($N$77*0.5,$N$79*(($N$78-($N$77*0.5))/$N$78))*(Data!$V$49/1000),
$N$78*(Data!$V$49/1000)))</f>
        <v>0</v>
      </c>
      <c r="V76" s="88">
        <f ca="1">IFERROR(IF(V$69="Y",$N$80*(Data!$V$49/1000)*(SUM(Overview!$D$38,Overview!$D$36)/SUM(Overview!$D$35,Overview!$D$38)),SUM($N$80-$N$78,$N$79)*(Data!$V$49/1000)*(SUM(Overview!$D$38,Overview!$D$36)/SUM(Overview!$D$35,Overview!$D$38))),0)</f>
        <v>0</v>
      </c>
      <c r="W76" s="325">
        <f ca="1">IFERROR(IF(W$69="Y",$N$80*(Data!$V$49/1000)*(SUM(Overview!$D$38,Overview!$D$36)/SUM(Overview!$D$35,Overview!$D$38)),SUM($N$80-$N$78,$N$79)*(Data!$V$49/1000)*(SUM(Overview!$D$38,Overview!$D$36)/SUM(Overview!$D$35,Overview!$D$38))),0)</f>
        <v>0</v>
      </c>
      <c r="X76" s="103">
        <f ca="1">IFERROR(IF(X$69="Y",$N$80*(Data!$V$49/1000)*(SUM(Overview!$D$38,Overview!$D$36)/SUM(Overview!$D$35,Overview!$D$38)),SUM($N$80-$N$78,$N$79)*(Data!$V$49/1000)*(SUM(Overview!$D$38,Overview!$D$36)/SUM(Overview!$D$35,Overview!$D$38))),0)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45" t="s">
        <v>232</v>
      </c>
      <c r="C77" s="5"/>
      <c r="D77" s="5"/>
      <c r="E77" s="37"/>
      <c r="F77" s="229">
        <v>0</v>
      </c>
      <c r="G77" s="88">
        <f>IFERROR($F77/Overview!$D$32,0)</f>
        <v>0</v>
      </c>
      <c r="H77" s="107">
        <f>IFERROR($F77/Overview!$D$31,0)</f>
        <v>0</v>
      </c>
      <c r="I77" s="135">
        <f t="shared" si="40"/>
        <v>0</v>
      </c>
      <c r="J77" s="5"/>
      <c r="K77" s="33" t="s">
        <v>333</v>
      </c>
      <c r="L77" s="5"/>
      <c r="M77" s="44"/>
      <c r="N77" s="228"/>
      <c r="O77" s="5"/>
      <c r="P77" s="33" t="s">
        <v>334</v>
      </c>
      <c r="Q77" s="37"/>
      <c r="R77" s="229">
        <v>0</v>
      </c>
      <c r="S77" s="88">
        <v>0</v>
      </c>
      <c r="T77" s="88">
        <v>0</v>
      </c>
      <c r="U77" s="88">
        <f>IFERROR(($N$80-$N$78)*(INDEX(Data!$W$49:$AA$49,MATCH(U$70,Data!$W$31:$AA$31,0))/1000),0)</f>
        <v>0</v>
      </c>
      <c r="V77" s="88">
        <v>0</v>
      </c>
      <c r="W77" s="325">
        <v>0</v>
      </c>
      <c r="X77" s="103">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45" t="s">
        <v>234</v>
      </c>
      <c r="C78" s="5"/>
      <c r="D78" s="5"/>
      <c r="E78" s="37"/>
      <c r="F78" s="229">
        <v>0</v>
      </c>
      <c r="G78" s="88">
        <f>IFERROR($F78/Overview!$D$32,0)</f>
        <v>0</v>
      </c>
      <c r="H78" s="107">
        <f>IFERROR($F78/Overview!$D$31,0)</f>
        <v>0</v>
      </c>
      <c r="I78" s="135">
        <f t="shared" si="40"/>
        <v>0</v>
      </c>
      <c r="J78" s="5"/>
      <c r="K78" s="33" t="s">
        <v>335</v>
      </c>
      <c r="L78" s="5"/>
      <c r="M78" s="44"/>
      <c r="N78" s="228"/>
      <c r="O78" s="5"/>
      <c r="P78" s="33" t="s">
        <v>235</v>
      </c>
      <c r="Q78" s="37"/>
      <c r="R78" s="229">
        <v>0</v>
      </c>
      <c r="S78" s="88">
        <v>0</v>
      </c>
      <c r="T78" s="88">
        <v>0</v>
      </c>
      <c r="U78" s="88">
        <v>0</v>
      </c>
      <c r="V78" s="88">
        <f ca="1">IFERROR(V73*(X17-X23-X25-X26-X27),0)</f>
        <v>0</v>
      </c>
      <c r="W78" s="325">
        <f ca="1">IFERROR(W73*('Rent Roll'!AB124-SWHP!X25-SWHP!X26-SWHP!X27),0)</f>
        <v>0</v>
      </c>
      <c r="X78" s="103">
        <f ca="1">IFERROR(X73*'Rent Roll'!AB124,0)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45" t="s">
        <v>236</v>
      </c>
      <c r="C79" s="5"/>
      <c r="D79" s="5"/>
      <c r="E79" s="37"/>
      <c r="F79" s="229">
        <v>0</v>
      </c>
      <c r="G79" s="88">
        <f>IFERROR($F79/Overview!$D$32,0)</f>
        <v>0</v>
      </c>
      <c r="H79" s="107">
        <f>IFERROR($F79/Overview!$D$31,0)</f>
        <v>0</v>
      </c>
      <c r="I79" s="135">
        <f t="shared" si="40"/>
        <v>0</v>
      </c>
      <c r="J79" s="5"/>
      <c r="K79" s="33" t="s">
        <v>336</v>
      </c>
      <c r="L79" s="5"/>
      <c r="M79" s="44"/>
      <c r="N79" s="228"/>
      <c r="O79" s="5"/>
      <c r="P79" s="50" t="s">
        <v>337</v>
      </c>
      <c r="Q79" s="51"/>
      <c r="R79" s="94">
        <f t="shared" ref="R79:U79" si="41">SUM(R76:R78)</f>
        <v>0</v>
      </c>
      <c r="S79" s="94">
        <f t="shared" ca="1" si="41"/>
        <v>0</v>
      </c>
      <c r="T79" s="94">
        <f t="shared" ca="1" si="41"/>
        <v>0</v>
      </c>
      <c r="U79" s="94">
        <f t="shared" ca="1" si="41"/>
        <v>0</v>
      </c>
      <c r="V79" s="94">
        <f ca="1">IFERROR(SUM(V76:V78),0)</f>
        <v>0</v>
      </c>
      <c r="W79" s="320">
        <f ca="1">IFERROR(SUM(W76:W78),0)</f>
        <v>0</v>
      </c>
      <c r="X79" s="104">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45" t="s">
        <v>238</v>
      </c>
      <c r="C80" s="5"/>
      <c r="D80" s="5"/>
      <c r="E80" s="37"/>
      <c r="F80" s="229">
        <v>0</v>
      </c>
      <c r="G80" s="88">
        <f>IFERROR($F80/Overview!$D$32,0)</f>
        <v>0</v>
      </c>
      <c r="H80" s="107">
        <f>IFERROR($F80/Overview!$D$31,0)</f>
        <v>0</v>
      </c>
      <c r="I80" s="135">
        <f t="shared" si="40"/>
        <v>0</v>
      </c>
      <c r="J80" s="5"/>
      <c r="K80" s="33" t="s">
        <v>338</v>
      </c>
      <c r="L80" s="5"/>
      <c r="M80" s="227"/>
      <c r="N80" s="103">
        <f>MAX(($M$80*SUM($N$74:$N$75))+($N$77*0.5))</f>
        <v>0</v>
      </c>
      <c r="O80" s="5"/>
      <c r="P80" s="183" t="s">
        <v>237</v>
      </c>
      <c r="Q80" s="47"/>
      <c r="R80" s="195">
        <f>IFERROR(R$79/Overview!$D$32,0)</f>
        <v>0</v>
      </c>
      <c r="S80" s="195">
        <f ca="1">IFERROR(S$79/Overview!$D$32,0)</f>
        <v>0</v>
      </c>
      <c r="T80" s="195">
        <f ca="1">IFERROR(T$79/Overview!$D$32,0)</f>
        <v>0</v>
      </c>
      <c r="U80" s="195">
        <f ca="1">IFERROR(U$79/Overview!$D$32,0)</f>
        <v>0</v>
      </c>
      <c r="V80" s="195">
        <f ca="1">IFERROR(V$79/Overview!$D$32,0)</f>
        <v>0</v>
      </c>
      <c r="W80" s="326">
        <f ca="1">IFERROR(W$79/Overview!$D$32,0)</f>
        <v>0</v>
      </c>
      <c r="X80" s="196">
        <f ca="1">IFERROR(X$79/Overview!$D$32,0)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33" t="s">
        <v>239</v>
      </c>
      <c r="C81" s="234"/>
      <c r="D81" s="234"/>
      <c r="E81" s="212"/>
      <c r="F81" s="229">
        <v>0</v>
      </c>
      <c r="G81" s="88">
        <f>IFERROR($F81/Overview!$D$32,0)</f>
        <v>0</v>
      </c>
      <c r="H81" s="107">
        <f>IFERROR($F81/Overview!$D$31,0)</f>
        <v>0</v>
      </c>
      <c r="I81" s="135">
        <f t="shared" si="40"/>
        <v>0</v>
      </c>
      <c r="J81" s="5"/>
      <c r="K81" s="34"/>
      <c r="L81" s="35"/>
      <c r="M81" s="46"/>
      <c r="N81" s="40"/>
      <c r="O81" s="5"/>
      <c r="P81" s="198"/>
      <c r="Q81" s="199"/>
      <c r="R81" s="200"/>
      <c r="S81" s="200"/>
      <c r="T81" s="200"/>
      <c r="U81" s="200"/>
      <c r="V81" s="200"/>
      <c r="W81" s="327"/>
      <c r="X81" s="201"/>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62" t="s">
        <v>240</v>
      </c>
      <c r="C82" s="53"/>
      <c r="D82" s="53"/>
      <c r="E82" s="51"/>
      <c r="F82" s="94">
        <f>SUM(F73:F81)</f>
        <v>0</v>
      </c>
      <c r="G82" s="94">
        <f>IFERROR($F82/Overview!$D$32,0)</f>
        <v>0</v>
      </c>
      <c r="H82" s="93">
        <f>IFERROR($F82/Overview!$D$31,0)</f>
        <v>0</v>
      </c>
      <c r="I82" s="138">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99"/>
      <c r="C83" s="64"/>
      <c r="D83" s="64"/>
      <c r="E83" s="65"/>
      <c r="F83" s="130"/>
      <c r="G83" s="130"/>
      <c r="H83" s="125"/>
      <c r="I83" s="139"/>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63" t="s">
        <v>241</v>
      </c>
      <c r="C84" s="5"/>
      <c r="D84" s="5"/>
      <c r="E84" s="37"/>
      <c r="F84" s="88"/>
      <c r="G84" s="88"/>
      <c r="H84" s="107"/>
      <c r="I84" s="13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45" t="s">
        <v>242</v>
      </c>
      <c r="C85" s="5"/>
      <c r="D85" s="5"/>
      <c r="E85" s="37"/>
      <c r="F85" s="229">
        <v>0</v>
      </c>
      <c r="G85" s="88">
        <f>IFERROR($F85/Overview!$D$32,0)</f>
        <v>0</v>
      </c>
      <c r="H85" s="107">
        <f>IFERROR($F85/Overview!$D$31,0)</f>
        <v>0</v>
      </c>
      <c r="I85" s="135">
        <f t="shared" ref="I85:I92" si="42">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45" t="s">
        <v>243</v>
      </c>
      <c r="C86" s="5"/>
      <c r="D86" s="5"/>
      <c r="E86" s="37"/>
      <c r="F86" s="229">
        <v>0</v>
      </c>
      <c r="G86" s="88">
        <f>IFERROR($F86/Overview!$D$32,0)</f>
        <v>0</v>
      </c>
      <c r="H86" s="107">
        <f>IFERROR($F86/Overview!$D$31,0)</f>
        <v>0</v>
      </c>
      <c r="I86" s="135">
        <f t="shared" si="42"/>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45" t="s">
        <v>244</v>
      </c>
      <c r="C87" s="5"/>
      <c r="D87" s="5"/>
      <c r="E87" s="37"/>
      <c r="F87" s="229">
        <v>0</v>
      </c>
      <c r="G87" s="88">
        <f>IFERROR($F87/Overview!$D$32,0)</f>
        <v>0</v>
      </c>
      <c r="H87" s="107">
        <f>IFERROR($F87/Overview!$D$31,0)</f>
        <v>0</v>
      </c>
      <c r="I87" s="135">
        <f t="shared" si="42"/>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45" t="s">
        <v>245</v>
      </c>
      <c r="C88" s="5"/>
      <c r="D88" s="5"/>
      <c r="E88" s="37"/>
      <c r="F88" s="229">
        <v>0</v>
      </c>
      <c r="G88" s="88">
        <f>IFERROR($F88/Overview!$D$32,0)</f>
        <v>0</v>
      </c>
      <c r="H88" s="107">
        <f>IFERROR($F88/Overview!$D$31,0)</f>
        <v>0</v>
      </c>
      <c r="I88" s="135">
        <f t="shared" si="42"/>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45" t="s">
        <v>246</v>
      </c>
      <c r="C89" s="5"/>
      <c r="D89" s="5"/>
      <c r="E89" s="37"/>
      <c r="F89" s="229">
        <v>0</v>
      </c>
      <c r="G89" s="88">
        <f>IFERROR($F89/Overview!$D$32,0)</f>
        <v>0</v>
      </c>
      <c r="H89" s="107">
        <f>IFERROR($F89/Overview!$D$31,0)</f>
        <v>0</v>
      </c>
      <c r="I89" s="135">
        <f t="shared" si="42"/>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45" t="s">
        <v>247</v>
      </c>
      <c r="C90" s="5"/>
      <c r="D90" s="5"/>
      <c r="E90" s="37"/>
      <c r="F90" s="229">
        <v>0</v>
      </c>
      <c r="G90" s="88">
        <f>IFERROR($F90/Overview!$D$32,0)</f>
        <v>0</v>
      </c>
      <c r="H90" s="107">
        <f>IFERROR($F90/Overview!$D$31,0)</f>
        <v>0</v>
      </c>
      <c r="I90" s="135">
        <f t="shared" si="42"/>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33" t="s">
        <v>239</v>
      </c>
      <c r="C91" s="234"/>
      <c r="D91" s="234"/>
      <c r="E91" s="212"/>
      <c r="F91" s="229">
        <v>0</v>
      </c>
      <c r="G91" s="88">
        <f>IFERROR($F91/Overview!$D$32,0)</f>
        <v>0</v>
      </c>
      <c r="H91" s="107">
        <f>IFERROR($F91/Overview!$D$31,0)</f>
        <v>0</v>
      </c>
      <c r="I91" s="135">
        <f t="shared" si="42"/>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62" t="s">
        <v>248</v>
      </c>
      <c r="C92" s="53"/>
      <c r="D92" s="53"/>
      <c r="E92" s="51"/>
      <c r="F92" s="94">
        <f>SUM(F85:F91)</f>
        <v>0</v>
      </c>
      <c r="G92" s="94">
        <f>IFERROR($F92/Overview!$D$32,0)</f>
        <v>0</v>
      </c>
      <c r="H92" s="93">
        <f>IFERROR($F92/Overview!$D$31,0)</f>
        <v>0</v>
      </c>
      <c r="I92" s="138">
        <f t="shared" si="42"/>
        <v>0</v>
      </c>
    </row>
    <row r="93" spans="2:49" x14ac:dyDescent="0.3">
      <c r="B93" s="299"/>
      <c r="C93" s="64"/>
      <c r="D93" s="64"/>
      <c r="E93" s="65"/>
      <c r="F93" s="130"/>
      <c r="G93" s="130"/>
      <c r="H93" s="125"/>
      <c r="I93" s="139"/>
    </row>
    <row r="94" spans="2:49" x14ac:dyDescent="0.3">
      <c r="B94" s="63" t="s">
        <v>249</v>
      </c>
      <c r="C94" s="5"/>
      <c r="D94" s="5"/>
      <c r="E94" s="37"/>
      <c r="F94" s="88"/>
      <c r="G94" s="88"/>
      <c r="H94" s="107"/>
      <c r="I94" s="135"/>
    </row>
    <row r="95" spans="2:49" x14ac:dyDescent="0.3">
      <c r="B95" s="45" t="s">
        <v>250</v>
      </c>
      <c r="C95" s="5"/>
      <c r="D95" s="5"/>
      <c r="E95" s="37"/>
      <c r="F95" s="229">
        <v>0</v>
      </c>
      <c r="G95" s="88">
        <f>IFERROR($F95/Overview!$D$32,0)</f>
        <v>0</v>
      </c>
      <c r="H95" s="107">
        <f>IFERROR($F95/Overview!$D$31,0)</f>
        <v>0</v>
      </c>
      <c r="I95" s="135">
        <f t="shared" ref="I95:I104" si="43">IFERROR($F95/$F$117,0)</f>
        <v>0</v>
      </c>
    </row>
    <row r="96" spans="2:49" x14ac:dyDescent="0.3">
      <c r="B96" s="45" t="s">
        <v>251</v>
      </c>
      <c r="C96" s="5"/>
      <c r="D96" s="5"/>
      <c r="E96" s="37"/>
      <c r="F96" s="229">
        <v>0</v>
      </c>
      <c r="G96" s="88">
        <f>IFERROR($F96/Overview!$D$32,0)</f>
        <v>0</v>
      </c>
      <c r="H96" s="107">
        <f>IFERROR($F96/Overview!$D$31,0)</f>
        <v>0</v>
      </c>
      <c r="I96" s="135">
        <f t="shared" si="43"/>
        <v>0</v>
      </c>
    </row>
    <row r="97" spans="2:9" x14ac:dyDescent="0.3">
      <c r="B97" s="45" t="s">
        <v>252</v>
      </c>
      <c r="C97" s="5"/>
      <c r="D97" s="5"/>
      <c r="E97" s="37"/>
      <c r="F97" s="229">
        <v>0</v>
      </c>
      <c r="G97" s="88">
        <f>IFERROR($F97/Overview!$D$32,0)</f>
        <v>0</v>
      </c>
      <c r="H97" s="107">
        <f>IFERROR($F97/Overview!$D$31,0)</f>
        <v>0</v>
      </c>
      <c r="I97" s="135">
        <f t="shared" si="43"/>
        <v>0</v>
      </c>
    </row>
    <row r="98" spans="2:9" x14ac:dyDescent="0.3">
      <c r="B98" s="45" t="s">
        <v>253</v>
      </c>
      <c r="C98" s="5"/>
      <c r="D98" s="5"/>
      <c r="E98" s="37"/>
      <c r="F98" s="229">
        <v>0</v>
      </c>
      <c r="G98" s="88">
        <f>IFERROR($F98/Overview!$D$32,0)</f>
        <v>0</v>
      </c>
      <c r="H98" s="107">
        <f>IFERROR($F98/Overview!$D$31,0)</f>
        <v>0</v>
      </c>
      <c r="I98" s="135">
        <f t="shared" si="43"/>
        <v>0</v>
      </c>
    </row>
    <row r="99" spans="2:9" x14ac:dyDescent="0.3">
      <c r="B99" s="45" t="s">
        <v>254</v>
      </c>
      <c r="C99" s="5"/>
      <c r="D99" s="5"/>
      <c r="E99" s="37"/>
      <c r="F99" s="229">
        <v>0</v>
      </c>
      <c r="G99" s="88">
        <f>IFERROR($F99/Overview!$D$32,0)</f>
        <v>0</v>
      </c>
      <c r="H99" s="107">
        <f>IFERROR($F99/Overview!$D$31,0)</f>
        <v>0</v>
      </c>
      <c r="I99" s="135">
        <f t="shared" si="43"/>
        <v>0</v>
      </c>
    </row>
    <row r="100" spans="2:9" x14ac:dyDescent="0.3">
      <c r="B100" s="45" t="s">
        <v>255</v>
      </c>
      <c r="C100" s="5"/>
      <c r="D100" s="5"/>
      <c r="E100" s="37"/>
      <c r="F100" s="229">
        <v>0</v>
      </c>
      <c r="G100" s="88">
        <f>IFERROR($F100/Overview!$D$32,0)</f>
        <v>0</v>
      </c>
      <c r="H100" s="107">
        <f>IFERROR($F100/Overview!$D$31,0)</f>
        <v>0</v>
      </c>
      <c r="I100" s="135">
        <f t="shared" si="43"/>
        <v>0</v>
      </c>
    </row>
    <row r="101" spans="2:9" x14ac:dyDescent="0.3">
      <c r="B101" s="45" t="s">
        <v>256</v>
      </c>
      <c r="C101" s="5"/>
      <c r="D101" s="5"/>
      <c r="E101" s="37"/>
      <c r="F101" s="229">
        <v>0</v>
      </c>
      <c r="G101" s="88">
        <f>IFERROR($F101/Overview!$D$32,0)</f>
        <v>0</v>
      </c>
      <c r="H101" s="107">
        <f>IFERROR($F101/Overview!$D$31,0)</f>
        <v>0</v>
      </c>
      <c r="I101" s="135">
        <f t="shared" si="43"/>
        <v>0</v>
      </c>
    </row>
    <row r="102" spans="2:9" x14ac:dyDescent="0.3">
      <c r="B102" s="233" t="s">
        <v>257</v>
      </c>
      <c r="C102" s="234"/>
      <c r="D102" s="234"/>
      <c r="E102" s="212"/>
      <c r="F102" s="229">
        <v>0</v>
      </c>
      <c r="G102" s="88">
        <f>IFERROR($F102/Overview!$D$32,0)</f>
        <v>0</v>
      </c>
      <c r="H102" s="107">
        <f>IFERROR($F102/Overview!$D$31,0)</f>
        <v>0</v>
      </c>
      <c r="I102" s="135">
        <f t="shared" si="43"/>
        <v>0</v>
      </c>
    </row>
    <row r="103" spans="2:9" x14ac:dyDescent="0.3">
      <c r="B103" s="233" t="s">
        <v>257</v>
      </c>
      <c r="C103" s="234"/>
      <c r="D103" s="234"/>
      <c r="E103" s="212"/>
      <c r="F103" s="229">
        <v>0</v>
      </c>
      <c r="G103" s="88">
        <f>IFERROR($F103/Overview!$D$32,0)</f>
        <v>0</v>
      </c>
      <c r="H103" s="107">
        <f>IFERROR($F103/Overview!$D$31,0)</f>
        <v>0</v>
      </c>
      <c r="I103" s="135">
        <f t="shared" si="43"/>
        <v>0</v>
      </c>
    </row>
    <row r="104" spans="2:9" x14ac:dyDescent="0.3">
      <c r="B104" s="62" t="s">
        <v>258</v>
      </c>
      <c r="C104" s="53"/>
      <c r="D104" s="53"/>
      <c r="E104" s="51"/>
      <c r="F104" s="94">
        <f>SUM(F95:F103)</f>
        <v>0</v>
      </c>
      <c r="G104" s="94">
        <f>IFERROR($F104/Overview!$D$32,0)</f>
        <v>0</v>
      </c>
      <c r="H104" s="93">
        <f>IFERROR($F104/Overview!$D$31,0)</f>
        <v>0</v>
      </c>
      <c r="I104" s="138">
        <f t="shared" si="43"/>
        <v>0</v>
      </c>
    </row>
    <row r="105" spans="2:9" x14ac:dyDescent="0.3">
      <c r="B105" s="33"/>
      <c r="C105" s="5"/>
      <c r="D105" s="5"/>
      <c r="E105" s="37"/>
      <c r="F105" s="88"/>
      <c r="G105" s="88"/>
      <c r="H105" s="107"/>
      <c r="I105" s="135"/>
    </row>
    <row r="106" spans="2:9" x14ac:dyDescent="0.3">
      <c r="B106" s="63" t="s">
        <v>259</v>
      </c>
      <c r="C106" s="5"/>
      <c r="D106" s="5"/>
      <c r="E106" s="37"/>
      <c r="F106" s="88"/>
      <c r="G106" s="88"/>
      <c r="H106" s="107"/>
      <c r="I106" s="135"/>
    </row>
    <row r="107" spans="2:9" x14ac:dyDescent="0.3">
      <c r="B107" s="45" t="s">
        <v>260</v>
      </c>
      <c r="C107" s="5"/>
      <c r="D107" s="5"/>
      <c r="E107" s="37"/>
      <c r="F107" s="229">
        <v>0</v>
      </c>
      <c r="G107" s="88">
        <f>IFERROR($F107/Overview!$D$32,0)</f>
        <v>0</v>
      </c>
      <c r="H107" s="107">
        <f>IFERROR($F107/Overview!$D$31,0)</f>
        <v>0</v>
      </c>
      <c r="I107" s="135">
        <f>IFERROR($F107/$F$117,0)</f>
        <v>0</v>
      </c>
    </row>
    <row r="108" spans="2:9" x14ac:dyDescent="0.3">
      <c r="B108" s="233" t="s">
        <v>261</v>
      </c>
      <c r="C108" s="234"/>
      <c r="D108" s="234"/>
      <c r="E108" s="212"/>
      <c r="F108" s="229">
        <v>0</v>
      </c>
      <c r="G108" s="88">
        <f>IFERROR($F108/Overview!$D$32,0)</f>
        <v>0</v>
      </c>
      <c r="H108" s="107">
        <f>IFERROR($F108/Overview!$D$31,0)</f>
        <v>0</v>
      </c>
      <c r="I108" s="135">
        <f>IFERROR($F108/$F$117,0)</f>
        <v>0</v>
      </c>
    </row>
    <row r="109" spans="2:9" x14ac:dyDescent="0.3">
      <c r="B109" s="233" t="s">
        <v>262</v>
      </c>
      <c r="C109" s="234"/>
      <c r="D109" s="234"/>
      <c r="E109" s="212"/>
      <c r="F109" s="229">
        <v>0</v>
      </c>
      <c r="G109" s="88">
        <f>IFERROR($F109/Overview!$D$32,0)</f>
        <v>0</v>
      </c>
      <c r="H109" s="107">
        <f>IFERROR($F109/Overview!$D$31,0)</f>
        <v>0</v>
      </c>
      <c r="I109" s="135">
        <f>IFERROR($F109/$F$117,0)</f>
        <v>0</v>
      </c>
    </row>
    <row r="110" spans="2:9" x14ac:dyDescent="0.3">
      <c r="B110" s="233" t="s">
        <v>262</v>
      </c>
      <c r="C110" s="234"/>
      <c r="D110" s="234"/>
      <c r="E110" s="212"/>
      <c r="F110" s="229">
        <v>0</v>
      </c>
      <c r="G110" s="88">
        <f>IFERROR($F110/Overview!$D$32,0)</f>
        <v>0</v>
      </c>
      <c r="H110" s="107">
        <f>IFERROR($F110/Overview!$D$31,0)</f>
        <v>0</v>
      </c>
      <c r="I110" s="135">
        <f>IFERROR($F110/$F$117,0)</f>
        <v>0</v>
      </c>
    </row>
    <row r="111" spans="2:9" x14ac:dyDescent="0.3">
      <c r="B111" s="62" t="s">
        <v>263</v>
      </c>
      <c r="C111" s="53"/>
      <c r="D111" s="53"/>
      <c r="E111" s="51"/>
      <c r="F111" s="94">
        <f>SUM(F107:F110)</f>
        <v>0</v>
      </c>
      <c r="G111" s="94">
        <f>IFERROR($F111/Overview!$D$32,0)</f>
        <v>0</v>
      </c>
      <c r="H111" s="93">
        <f>IFERROR($F111/Overview!$D$31,0)</f>
        <v>0</v>
      </c>
      <c r="I111" s="138">
        <f>IFERROR($F111/$F$117,0)</f>
        <v>0</v>
      </c>
    </row>
    <row r="112" spans="2:9" x14ac:dyDescent="0.3">
      <c r="B112" s="299"/>
      <c r="C112" s="64"/>
      <c r="D112" s="64"/>
      <c r="E112" s="65"/>
      <c r="F112" s="130"/>
      <c r="G112" s="130"/>
      <c r="H112" s="125"/>
      <c r="I112" s="139"/>
    </row>
    <row r="113" spans="2:9" x14ac:dyDescent="0.3">
      <c r="B113" s="63" t="s">
        <v>264</v>
      </c>
      <c r="C113" s="64"/>
      <c r="D113" s="64"/>
      <c r="E113" s="65"/>
      <c r="F113" s="232">
        <v>0</v>
      </c>
      <c r="G113" s="130">
        <f>IFERROR($F113/Overview!$D$32,0)</f>
        <v>0</v>
      </c>
      <c r="H113" s="125">
        <f>IFERROR($F113/Overview!$D$31,0)</f>
        <v>0</v>
      </c>
      <c r="I113" s="139">
        <f>IFERROR($F113/$F$117,0)</f>
        <v>0</v>
      </c>
    </row>
    <row r="114" spans="2:9" x14ac:dyDescent="0.3">
      <c r="B114" s="33"/>
      <c r="C114" s="5"/>
      <c r="D114" s="5"/>
      <c r="E114" s="37"/>
      <c r="F114" s="88"/>
      <c r="G114" s="88"/>
      <c r="H114" s="107"/>
      <c r="I114" s="135"/>
    </row>
    <row r="115" spans="2:9" x14ac:dyDescent="0.3">
      <c r="B115" s="66" t="s">
        <v>265</v>
      </c>
      <c r="C115" s="60"/>
      <c r="D115" s="60"/>
      <c r="E115" s="61"/>
      <c r="F115" s="129">
        <f>SUM(F56,F65,F70,F82,F92,F104,F111,F113)</f>
        <v>0</v>
      </c>
      <c r="G115" s="129">
        <f>IFERROR($F115/Overview!$D$32,0)</f>
        <v>0</v>
      </c>
      <c r="H115" s="124">
        <f>IFERROR($F115/Overview!$D$31,0)</f>
        <v>0</v>
      </c>
      <c r="I115" s="136">
        <f>IFERROR($F115/$F$117,0)</f>
        <v>0</v>
      </c>
    </row>
    <row r="116" spans="2:9" x14ac:dyDescent="0.3">
      <c r="B116" s="33"/>
      <c r="C116" s="5"/>
      <c r="D116" s="5"/>
      <c r="E116" s="37"/>
      <c r="F116" s="88"/>
      <c r="G116" s="88"/>
      <c r="H116" s="107"/>
      <c r="I116" s="135"/>
    </row>
    <row r="117" spans="2:9" x14ac:dyDescent="0.3">
      <c r="B117" s="67" t="s">
        <v>266</v>
      </c>
      <c r="C117" s="42"/>
      <c r="D117" s="42"/>
      <c r="E117" s="68"/>
      <c r="F117" s="131">
        <f>SUM(F115,F45,F20)</f>
        <v>0</v>
      </c>
      <c r="G117" s="131">
        <f>IFERROR($F117/Overview!$D$32,0)</f>
        <v>0</v>
      </c>
      <c r="H117" s="126">
        <f>IFERROR($F117/Overview!$D$31,0)</f>
        <v>0</v>
      </c>
      <c r="I117" s="140">
        <f>IFERROR($F117/$F$117,0)</f>
        <v>0</v>
      </c>
    </row>
    <row r="118" spans="2:9" x14ac:dyDescent="0.3">
      <c r="B118" s="34"/>
      <c r="C118" s="35"/>
      <c r="D118" s="35"/>
      <c r="E118" s="39"/>
      <c r="F118" s="132"/>
      <c r="G118" s="132"/>
      <c r="H118" s="127"/>
      <c r="I118" s="141"/>
    </row>
  </sheetData>
  <sheetProtection algorithmName="SHA-512" hashValue="BMyFKN0Iacy/WDN8sJ4zqxK0YAsWDuSeS3drK1v2znx8v4cc42qEcZd1Wt3W2pkBv7dqXraBFRn4W/yYgsTS4Q==" saltValue="K1Yj6RqNTa0CkceMMN4boQ==" spinCount="100000" sheet="1"/>
  <protectedRanges>
    <protectedRange sqref="M68:N71 N73:N75 N77:N79 M80 Q62 T69:X69 U70 X71 R76:R78" name="SWHP Tax Analysis"/>
    <protectedRange sqref="X18:X19 W23 X24:X31 X33:X38 U35:U38 W39 AF17:AH19 AF24:AH38" name="SWHP Income Statement"/>
    <protectedRange sqref="K17:K23 M17:M20 N17:N20 O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M70:N71"/>
    <mergeCell ref="W65:W67"/>
    <mergeCell ref="B4:G9"/>
    <mergeCell ref="P65:Q67"/>
    <mergeCell ref="R65:R67"/>
    <mergeCell ref="N65:N67"/>
    <mergeCell ref="B15:E15"/>
    <mergeCell ref="M68:N69"/>
    <mergeCell ref="AC15:AE15"/>
    <mergeCell ref="U15:W15"/>
    <mergeCell ref="K15:L15"/>
    <mergeCell ref="M15:O15"/>
    <mergeCell ref="S65:S67"/>
    <mergeCell ref="T65:T67"/>
    <mergeCell ref="U65:U67"/>
    <mergeCell ref="V65:V67"/>
    <mergeCell ref="X65:X67"/>
    <mergeCell ref="K65:M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List!$Q$5:$Q$10</xm:f>
          </x14:formula1>
          <xm:sqref>U70</xm:sqref>
        </x14:dataValidation>
        <x14:dataValidation type="list" allowBlank="1" showInputMessage="1" showErrorMessage="1" xr:uid="{1D31420D-12E1-404C-B148-7315005E0E9D}">
          <x14:formula1>
            <xm:f>List!$S$5:$S$12</xm:f>
          </x14:formula1>
          <xm:sqref>X71</xm:sqref>
        </x14:dataValidation>
        <x14:dataValidation type="list" allowBlank="1" showInputMessage="1" showErrorMessage="1" xr:uid="{AF6972DD-7C8B-4FFC-92F2-BFD2F5BAA269}">
          <x14:formula1>
            <xm:f>List!$M$5:$M$7</xm:f>
          </x14:formula1>
          <xm:sqref>M17:M20 M37:M40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0"/>
  <sheetViews>
    <sheetView showGridLines="0" zoomScale="130" zoomScaleNormal="130" workbookViewId="0"/>
  </sheetViews>
  <sheetFormatPr defaultColWidth="15.6640625" defaultRowHeight="13.8" x14ac:dyDescent="0.3"/>
  <cols>
    <col min="1" max="1" width="2.6640625" style="1" customWidth="1"/>
    <col min="2" max="16384" width="15.6640625" style="1"/>
  </cols>
  <sheetData>
    <row r="1" spans="2:28" s="2" customFormat="1" ht="15.6" x14ac:dyDescent="0.3">
      <c r="B1" s="2" t="s">
        <v>0</v>
      </c>
    </row>
    <row r="2" spans="2:28" x14ac:dyDescent="0.3">
      <c r="B2" s="1" t="s">
        <v>339</v>
      </c>
    </row>
    <row r="3" spans="2:28" x14ac:dyDescent="0.3">
      <c r="L3" s="80"/>
    </row>
    <row r="4" spans="2:28" s="5" customFormat="1" ht="15" customHeight="1" x14ac:dyDescent="0.3">
      <c r="B4" s="70" t="s">
        <v>3</v>
      </c>
      <c r="C4" s="221" t="s">
        <v>4</v>
      </c>
      <c r="D4" s="71" t="s">
        <v>5</v>
      </c>
      <c r="E4" s="72" t="s">
        <v>6</v>
      </c>
      <c r="L4" s="80"/>
    </row>
    <row r="5" spans="2:28" x14ac:dyDescent="0.3">
      <c r="L5" s="80"/>
    </row>
    <row r="6" spans="2:28" x14ac:dyDescent="0.3">
      <c r="B6" s="30" t="s">
        <v>340</v>
      </c>
      <c r="C6" s="394">
        <v>2024</v>
      </c>
      <c r="I6" s="30" t="s">
        <v>341</v>
      </c>
      <c r="J6" s="394">
        <v>2024</v>
      </c>
    </row>
    <row r="8" spans="2:28" x14ac:dyDescent="0.3">
      <c r="B8" s="6" t="s">
        <v>342</v>
      </c>
      <c r="C8" s="7"/>
      <c r="D8" s="7"/>
      <c r="E8" s="7"/>
      <c r="F8" s="7"/>
      <c r="G8" s="8"/>
      <c r="I8" s="6" t="s">
        <v>343</v>
      </c>
      <c r="J8" s="9"/>
      <c r="K8" s="528" t="s">
        <v>344</v>
      </c>
      <c r="L8" s="528"/>
      <c r="M8" s="528"/>
      <c r="N8" s="528"/>
      <c r="O8" s="528"/>
      <c r="P8" s="528"/>
      <c r="Q8" s="528" t="s">
        <v>345</v>
      </c>
      <c r="R8" s="528"/>
      <c r="S8" s="528"/>
      <c r="T8" s="528"/>
      <c r="U8" s="528"/>
      <c r="V8" s="528"/>
      <c r="W8" s="528" t="s">
        <v>346</v>
      </c>
      <c r="X8" s="528"/>
      <c r="Y8" s="528"/>
      <c r="Z8" s="528"/>
      <c r="AA8" s="528"/>
      <c r="AB8" s="529"/>
    </row>
    <row r="9" spans="2:28" x14ac:dyDescent="0.3">
      <c r="B9" s="361" t="s">
        <v>34</v>
      </c>
      <c r="C9" s="10" t="s">
        <v>35</v>
      </c>
      <c r="D9" s="10" t="s">
        <v>36</v>
      </c>
      <c r="E9" s="10" t="s">
        <v>37</v>
      </c>
      <c r="F9" s="10" t="s">
        <v>38</v>
      </c>
      <c r="G9" s="10" t="s">
        <v>102</v>
      </c>
      <c r="I9" s="515" t="s">
        <v>84</v>
      </c>
      <c r="J9" s="515"/>
      <c r="K9" s="530" t="s">
        <v>347</v>
      </c>
      <c r="L9" s="531"/>
      <c r="M9" s="531"/>
      <c r="N9" s="531"/>
      <c r="O9" s="531"/>
      <c r="P9" s="532"/>
      <c r="Q9" s="530" t="s">
        <v>348</v>
      </c>
      <c r="R9" s="531"/>
      <c r="S9" s="531"/>
      <c r="T9" s="531"/>
      <c r="U9" s="531"/>
      <c r="V9" s="532"/>
      <c r="W9" s="530" t="s">
        <v>349</v>
      </c>
      <c r="X9" s="531"/>
      <c r="Y9" s="531"/>
      <c r="Z9" s="531"/>
      <c r="AA9" s="531"/>
      <c r="AB9" s="532"/>
    </row>
    <row r="10" spans="2:28" x14ac:dyDescent="0.3">
      <c r="B10" s="11">
        <v>0.2</v>
      </c>
      <c r="C10" s="334">
        <v>336</v>
      </c>
      <c r="D10" s="334">
        <v>360</v>
      </c>
      <c r="E10" s="334">
        <v>432</v>
      </c>
      <c r="F10" s="334">
        <v>498</v>
      </c>
      <c r="G10" s="335">
        <v>556</v>
      </c>
      <c r="I10" s="515"/>
      <c r="J10" s="515"/>
      <c r="K10" s="87" t="s">
        <v>85</v>
      </c>
      <c r="L10" s="361" t="s">
        <v>350</v>
      </c>
      <c r="M10" s="361" t="s">
        <v>351</v>
      </c>
      <c r="N10" s="361" t="s">
        <v>352</v>
      </c>
      <c r="O10" s="361" t="s">
        <v>353</v>
      </c>
      <c r="P10" s="361" t="s">
        <v>354</v>
      </c>
      <c r="Q10" s="87" t="s">
        <v>85</v>
      </c>
      <c r="R10" s="361" t="s">
        <v>350</v>
      </c>
      <c r="S10" s="361" t="s">
        <v>351</v>
      </c>
      <c r="T10" s="361" t="s">
        <v>352</v>
      </c>
      <c r="U10" s="361" t="s">
        <v>353</v>
      </c>
      <c r="V10" s="361" t="s">
        <v>354</v>
      </c>
      <c r="W10" s="87" t="s">
        <v>85</v>
      </c>
      <c r="X10" s="361" t="s">
        <v>350</v>
      </c>
      <c r="Y10" s="361" t="s">
        <v>351</v>
      </c>
      <c r="Z10" s="361" t="s">
        <v>352</v>
      </c>
      <c r="AA10" s="361" t="s">
        <v>353</v>
      </c>
      <c r="AB10" s="361" t="s">
        <v>354</v>
      </c>
    </row>
    <row r="11" spans="2:28" x14ac:dyDescent="0.3">
      <c r="B11" s="12">
        <v>0.3</v>
      </c>
      <c r="C11" s="25">
        <v>504</v>
      </c>
      <c r="D11" s="25">
        <v>540</v>
      </c>
      <c r="E11" s="25">
        <v>648</v>
      </c>
      <c r="F11" s="25">
        <v>748</v>
      </c>
      <c r="G11" s="26">
        <v>834</v>
      </c>
      <c r="I11" s="13" t="s">
        <v>86</v>
      </c>
      <c r="J11" s="14" t="s">
        <v>87</v>
      </c>
      <c r="K11" s="430" t="str">
        <f>IF(Overview!$F$17="High-rise, Low-rise",'Rent Roll'!$Z6,"N")</f>
        <v>N</v>
      </c>
      <c r="L11" s="382">
        <v>21</v>
      </c>
      <c r="M11" s="382">
        <v>25</v>
      </c>
      <c r="N11" s="382">
        <v>29</v>
      </c>
      <c r="O11" s="382">
        <v>34</v>
      </c>
      <c r="P11" s="383">
        <v>38</v>
      </c>
      <c r="Q11" s="430" t="str">
        <f>IF(Overview!$F$17="Townhouse, Duplex, Triplex, Fourplex",'Rent Roll'!$Z6,"N")</f>
        <v>N</v>
      </c>
      <c r="R11" s="382">
        <v>37</v>
      </c>
      <c r="S11" s="382">
        <v>44</v>
      </c>
      <c r="T11" s="382">
        <v>47</v>
      </c>
      <c r="U11" s="382">
        <v>51</v>
      </c>
      <c r="V11" s="383">
        <v>54</v>
      </c>
      <c r="W11" s="430" t="str">
        <f>IF(Overview!$F$17="Single Family Detached, Manufactured Home",'Rent Roll'!$Z6,"N")</f>
        <v>N</v>
      </c>
      <c r="X11" s="382">
        <v>30</v>
      </c>
      <c r="Y11" s="382">
        <v>36</v>
      </c>
      <c r="Z11" s="382">
        <v>42</v>
      </c>
      <c r="AA11" s="382">
        <v>48</v>
      </c>
      <c r="AB11" s="383">
        <v>54</v>
      </c>
    </row>
    <row r="12" spans="2:28" x14ac:dyDescent="0.3">
      <c r="B12" s="12">
        <v>0.4</v>
      </c>
      <c r="C12" s="25">
        <v>672</v>
      </c>
      <c r="D12" s="25">
        <v>720</v>
      </c>
      <c r="E12" s="25">
        <v>864</v>
      </c>
      <c r="F12" s="25">
        <v>997</v>
      </c>
      <c r="G12" s="26">
        <v>1113</v>
      </c>
      <c r="I12" s="15"/>
      <c r="J12" s="16" t="s">
        <v>88</v>
      </c>
      <c r="K12" s="431" t="str">
        <f>IF(Overview!$F$17="High-rise, Low-rise",'Rent Roll'!$Z7,"N")</f>
        <v>N</v>
      </c>
      <c r="L12" s="384">
        <v>33</v>
      </c>
      <c r="M12" s="384">
        <v>39</v>
      </c>
      <c r="N12" s="384">
        <v>53</v>
      </c>
      <c r="O12" s="384">
        <v>67</v>
      </c>
      <c r="P12" s="385">
        <v>81</v>
      </c>
      <c r="Q12" s="431" t="str">
        <f>IF(Overview!$F$17="Townhouse, Duplex, Triplex, Fourplex",'Rent Roll'!$Z7,"N")</f>
        <v>N</v>
      </c>
      <c r="R12" s="384">
        <v>48</v>
      </c>
      <c r="S12" s="384">
        <v>56</v>
      </c>
      <c r="T12" s="384">
        <v>74</v>
      </c>
      <c r="U12" s="384">
        <v>91</v>
      </c>
      <c r="V12" s="385">
        <v>108</v>
      </c>
      <c r="W12" s="431" t="str">
        <f>IF(Overview!$F$17="Single Family Detached, Manufactured Home",'Rent Roll'!$Z7,"N")</f>
        <v>N</v>
      </c>
      <c r="X12" s="384">
        <v>78</v>
      </c>
      <c r="Y12" s="384">
        <v>92</v>
      </c>
      <c r="Z12" s="384">
        <v>108</v>
      </c>
      <c r="AA12" s="384">
        <v>124</v>
      </c>
      <c r="AB12" s="385">
        <v>139</v>
      </c>
    </row>
    <row r="13" spans="2:28" x14ac:dyDescent="0.3">
      <c r="B13" s="12">
        <v>0.5</v>
      </c>
      <c r="C13" s="25">
        <v>840</v>
      </c>
      <c r="D13" s="25">
        <v>900</v>
      </c>
      <c r="E13" s="25">
        <v>1080</v>
      </c>
      <c r="F13" s="25">
        <v>1246</v>
      </c>
      <c r="G13" s="26">
        <v>1391</v>
      </c>
      <c r="I13" s="15" t="s">
        <v>89</v>
      </c>
      <c r="J13" s="16" t="s">
        <v>87</v>
      </c>
      <c r="K13" s="431" t="str">
        <f>IF(Overview!$F$17="High-rise, Low-rise",'Rent Roll'!$Z8,"N")</f>
        <v>N</v>
      </c>
      <c r="L13" s="384">
        <v>2</v>
      </c>
      <c r="M13" s="384">
        <v>3</v>
      </c>
      <c r="N13" s="384">
        <v>4</v>
      </c>
      <c r="O13" s="384">
        <v>5</v>
      </c>
      <c r="P13" s="385">
        <v>6</v>
      </c>
      <c r="Q13" s="431" t="str">
        <f>IF(Overview!$F$17="Townhouse, Duplex, Triplex, Fourplex",'Rent Roll'!$Z8,"N")</f>
        <v>N</v>
      </c>
      <c r="R13" s="384">
        <v>2</v>
      </c>
      <c r="S13" s="384">
        <v>3</v>
      </c>
      <c r="T13" s="384">
        <v>4</v>
      </c>
      <c r="U13" s="384">
        <v>5</v>
      </c>
      <c r="V13" s="385">
        <v>6</v>
      </c>
      <c r="W13" s="431" t="str">
        <f>IF(Overview!$F$17="Single Family Detached, Manufactured Home",'Rent Roll'!$Z8,"N")</f>
        <v>N</v>
      </c>
      <c r="X13" s="384">
        <v>2</v>
      </c>
      <c r="Y13" s="384">
        <v>3</v>
      </c>
      <c r="Z13" s="384">
        <v>4</v>
      </c>
      <c r="AA13" s="384">
        <v>5</v>
      </c>
      <c r="AB13" s="385">
        <v>6</v>
      </c>
    </row>
    <row r="14" spans="2:28" x14ac:dyDescent="0.3">
      <c r="B14" s="12">
        <v>0.6</v>
      </c>
      <c r="C14" s="25">
        <v>1008</v>
      </c>
      <c r="D14" s="25">
        <v>1080</v>
      </c>
      <c r="E14" s="25">
        <v>1296</v>
      </c>
      <c r="F14" s="25">
        <v>1496</v>
      </c>
      <c r="G14" s="26">
        <v>1669</v>
      </c>
      <c r="I14" s="15"/>
      <c r="J14" s="16" t="s">
        <v>88</v>
      </c>
      <c r="K14" s="431" t="str">
        <f>IF(Overview!$F$17="High-rise, Low-rise",'Rent Roll'!$Z9,"N")</f>
        <v>N</v>
      </c>
      <c r="L14" s="384">
        <v>8</v>
      </c>
      <c r="M14" s="384">
        <v>9</v>
      </c>
      <c r="N14" s="384">
        <v>13</v>
      </c>
      <c r="O14" s="384">
        <v>17</v>
      </c>
      <c r="P14" s="385">
        <v>21</v>
      </c>
      <c r="Q14" s="431" t="str">
        <f>IF(Overview!$F$17="Townhouse, Duplex, Triplex, Fourplex",'Rent Roll'!$Z9,"N")</f>
        <v>N</v>
      </c>
      <c r="R14" s="384">
        <v>8</v>
      </c>
      <c r="S14" s="384">
        <v>9</v>
      </c>
      <c r="T14" s="384">
        <v>13</v>
      </c>
      <c r="U14" s="384">
        <v>17</v>
      </c>
      <c r="V14" s="385">
        <v>21</v>
      </c>
      <c r="W14" s="431" t="str">
        <f>IF(Overview!$F$17="Single Family Detached, Manufactured Home",'Rent Roll'!$Z9,"N")</f>
        <v>N</v>
      </c>
      <c r="X14" s="384">
        <v>8</v>
      </c>
      <c r="Y14" s="384">
        <v>9</v>
      </c>
      <c r="Z14" s="384">
        <v>13</v>
      </c>
      <c r="AA14" s="384">
        <v>17</v>
      </c>
      <c r="AB14" s="385">
        <v>21</v>
      </c>
    </row>
    <row r="15" spans="2:28" x14ac:dyDescent="0.3">
      <c r="B15" s="12">
        <v>0.7</v>
      </c>
      <c r="C15" s="25">
        <v>1176</v>
      </c>
      <c r="D15" s="25">
        <v>1260</v>
      </c>
      <c r="E15" s="25">
        <v>1512</v>
      </c>
      <c r="F15" s="25">
        <v>1745</v>
      </c>
      <c r="G15" s="26">
        <v>1947</v>
      </c>
      <c r="I15" s="15" t="s">
        <v>90</v>
      </c>
      <c r="J15" s="16" t="s">
        <v>87</v>
      </c>
      <c r="K15" s="431" t="str">
        <f>IF(Overview!$F$17="High-rise, Low-rise",'Rent Roll'!$Z10,"N")</f>
        <v>N</v>
      </c>
      <c r="L15" s="384">
        <v>6</v>
      </c>
      <c r="M15" s="384">
        <v>7</v>
      </c>
      <c r="N15" s="384">
        <v>10</v>
      </c>
      <c r="O15" s="384">
        <v>13</v>
      </c>
      <c r="P15" s="385">
        <v>16</v>
      </c>
      <c r="Q15" s="431" t="str">
        <f>IF(Overview!$F$17="Townhouse, Duplex, Triplex, Fourplex",'Rent Roll'!$Z10,"N")</f>
        <v>N</v>
      </c>
      <c r="R15" s="384">
        <v>7</v>
      </c>
      <c r="S15" s="384">
        <v>8</v>
      </c>
      <c r="T15" s="384">
        <v>12</v>
      </c>
      <c r="U15" s="384">
        <v>16</v>
      </c>
      <c r="V15" s="385">
        <v>20</v>
      </c>
      <c r="W15" s="431" t="str">
        <f>IF(Overview!$F$17="Single Family Detached, Manufactured Home",'Rent Roll'!$Z10,"N")</f>
        <v>N</v>
      </c>
      <c r="X15" s="384">
        <v>7</v>
      </c>
      <c r="Y15" s="384">
        <v>8</v>
      </c>
      <c r="Z15" s="384">
        <v>12</v>
      </c>
      <c r="AA15" s="384">
        <v>16</v>
      </c>
      <c r="AB15" s="385">
        <v>20</v>
      </c>
    </row>
    <row r="16" spans="2:28" x14ac:dyDescent="0.3">
      <c r="B16" s="12">
        <v>0.8</v>
      </c>
      <c r="C16" s="25">
        <v>1344</v>
      </c>
      <c r="D16" s="25">
        <v>1440</v>
      </c>
      <c r="E16" s="25">
        <v>1728</v>
      </c>
      <c r="F16" s="25">
        <v>1995</v>
      </c>
      <c r="G16" s="26">
        <v>2226</v>
      </c>
      <c r="I16" s="15"/>
      <c r="J16" s="16" t="s">
        <v>88</v>
      </c>
      <c r="K16" s="431" t="str">
        <f>IF(Overview!$F$17="High-rise, Low-rise",'Rent Roll'!$Z11,"N")</f>
        <v>N</v>
      </c>
      <c r="L16" s="384">
        <v>20</v>
      </c>
      <c r="M16" s="384">
        <v>23</v>
      </c>
      <c r="N16" s="384">
        <v>30</v>
      </c>
      <c r="O16" s="384">
        <v>36</v>
      </c>
      <c r="P16" s="385">
        <v>43</v>
      </c>
      <c r="Q16" s="431" t="str">
        <f>IF(Overview!$F$17="Townhouse, Duplex, Triplex, Fourplex",'Rent Roll'!$Z11,"N")</f>
        <v>N</v>
      </c>
      <c r="R16" s="384">
        <v>25</v>
      </c>
      <c r="S16" s="384">
        <v>29</v>
      </c>
      <c r="T16" s="384">
        <v>37</v>
      </c>
      <c r="U16" s="384">
        <v>45</v>
      </c>
      <c r="V16" s="385">
        <v>53</v>
      </c>
      <c r="W16" s="431" t="str">
        <f>IF(Overview!$F$17="Single Family Detached, Manufactured Home",'Rent Roll'!$Z11,"N")</f>
        <v>N</v>
      </c>
      <c r="X16" s="384">
        <v>25</v>
      </c>
      <c r="Y16" s="384">
        <v>29</v>
      </c>
      <c r="Z16" s="384">
        <v>37</v>
      </c>
      <c r="AA16" s="384">
        <v>45</v>
      </c>
      <c r="AB16" s="385">
        <v>53</v>
      </c>
    </row>
    <row r="17" spans="2:28" x14ac:dyDescent="0.3">
      <c r="B17" s="12">
        <v>0.9</v>
      </c>
      <c r="C17" s="25">
        <v>1512</v>
      </c>
      <c r="D17" s="25">
        <v>1620</v>
      </c>
      <c r="E17" s="25">
        <v>1944</v>
      </c>
      <c r="F17" s="25">
        <v>2243.7000000000003</v>
      </c>
      <c r="G17" s="26">
        <v>2503.8000000000002</v>
      </c>
      <c r="I17" s="17" t="s">
        <v>93</v>
      </c>
      <c r="J17" s="18"/>
      <c r="K17" s="431" t="str">
        <f>IF(Overview!$F$17="High-rise, Low-rise",'Rent Roll'!$Z12,"N")</f>
        <v>N</v>
      </c>
      <c r="L17" s="384">
        <v>28</v>
      </c>
      <c r="M17" s="384">
        <v>34</v>
      </c>
      <c r="N17" s="384">
        <v>47</v>
      </c>
      <c r="O17" s="384">
        <v>60</v>
      </c>
      <c r="P17" s="385">
        <v>73</v>
      </c>
      <c r="Q17" s="431" t="str">
        <f>IF(Overview!$F$17="Townhouse, Duplex, Triplex, Fourplex",'Rent Roll'!$Z12,"N")</f>
        <v>N</v>
      </c>
      <c r="R17" s="384">
        <v>35</v>
      </c>
      <c r="S17" s="384">
        <v>41</v>
      </c>
      <c r="T17" s="384">
        <v>57</v>
      </c>
      <c r="U17" s="384">
        <v>73</v>
      </c>
      <c r="V17" s="385">
        <v>89</v>
      </c>
      <c r="W17" s="431" t="str">
        <f>IF(Overview!$F$17="Single Family Detached, Manufactured Home",'Rent Roll'!$Z12,"N")</f>
        <v>N</v>
      </c>
      <c r="X17" s="384">
        <v>42</v>
      </c>
      <c r="Y17" s="384">
        <v>49</v>
      </c>
      <c r="Z17" s="384">
        <v>69</v>
      </c>
      <c r="AA17" s="384">
        <v>88</v>
      </c>
      <c r="AB17" s="385">
        <v>107</v>
      </c>
    </row>
    <row r="18" spans="2:28" x14ac:dyDescent="0.3">
      <c r="B18" s="12">
        <v>1</v>
      </c>
      <c r="C18" s="25">
        <v>1680</v>
      </c>
      <c r="D18" s="25">
        <v>1800</v>
      </c>
      <c r="E18" s="25">
        <v>2160</v>
      </c>
      <c r="F18" s="25">
        <v>2493</v>
      </c>
      <c r="G18" s="26">
        <v>2782</v>
      </c>
      <c r="I18" s="17" t="s">
        <v>97</v>
      </c>
      <c r="J18" s="18"/>
      <c r="K18" s="431" t="str">
        <f>IF(Overview!$F$17="High-rise, Low-rise",'Rent Roll'!$Z13,"N")</f>
        <v>N</v>
      </c>
      <c r="L18" s="384">
        <v>20</v>
      </c>
      <c r="M18" s="384">
        <v>22</v>
      </c>
      <c r="N18" s="384">
        <v>36</v>
      </c>
      <c r="O18" s="384">
        <v>58</v>
      </c>
      <c r="P18" s="385">
        <v>80</v>
      </c>
      <c r="Q18" s="431" t="str">
        <f>IF(Overview!$F$17="Townhouse, Duplex, Triplex, Fourplex",'Rent Roll'!$Z13,"N")</f>
        <v>N</v>
      </c>
      <c r="R18" s="384">
        <v>20</v>
      </c>
      <c r="S18" s="384">
        <v>22</v>
      </c>
      <c r="T18" s="384">
        <v>36</v>
      </c>
      <c r="U18" s="384">
        <v>58</v>
      </c>
      <c r="V18" s="385">
        <v>80</v>
      </c>
      <c r="W18" s="431" t="str">
        <f>IF(Overview!$F$17="Single Family Detached, Manufactured Home",'Rent Roll'!$Z13,"N")</f>
        <v>N</v>
      </c>
      <c r="X18" s="384">
        <v>20</v>
      </c>
      <c r="Y18" s="384">
        <v>22</v>
      </c>
      <c r="Z18" s="384">
        <v>36</v>
      </c>
      <c r="AA18" s="384">
        <v>58</v>
      </c>
      <c r="AB18" s="385">
        <v>80</v>
      </c>
    </row>
    <row r="19" spans="2:28" x14ac:dyDescent="0.3">
      <c r="B19" s="12">
        <v>1.1000000000000001</v>
      </c>
      <c r="C19" s="25">
        <v>1848</v>
      </c>
      <c r="D19" s="25">
        <v>1980</v>
      </c>
      <c r="E19" s="25">
        <v>2376</v>
      </c>
      <c r="F19" s="25">
        <v>2742</v>
      </c>
      <c r="G19" s="26">
        <v>3060</v>
      </c>
      <c r="I19" s="17" t="s">
        <v>98</v>
      </c>
      <c r="J19" s="18"/>
      <c r="K19" s="431" t="str">
        <f>IF(Overview!$F$17="High-rise, Low-rise",'Rent Roll'!$Z14,"N")</f>
        <v>N</v>
      </c>
      <c r="L19" s="384">
        <v>34</v>
      </c>
      <c r="M19" s="384">
        <v>37</v>
      </c>
      <c r="N19" s="384">
        <v>62</v>
      </c>
      <c r="O19" s="384">
        <v>100</v>
      </c>
      <c r="P19" s="385">
        <v>137</v>
      </c>
      <c r="Q19" s="431" t="str">
        <f>IF(Overview!$F$17="Townhouse, Duplex, Triplex, Fourplex",'Rent Roll'!$Z14,"N")</f>
        <v>N</v>
      </c>
      <c r="R19" s="384">
        <v>34</v>
      </c>
      <c r="S19" s="384">
        <v>37</v>
      </c>
      <c r="T19" s="384">
        <v>62</v>
      </c>
      <c r="U19" s="384">
        <v>100</v>
      </c>
      <c r="V19" s="385">
        <v>137</v>
      </c>
      <c r="W19" s="431" t="str">
        <f>IF(Overview!$F$17="Single Family Detached, Manufactured Home",'Rent Roll'!$Z14,"N")</f>
        <v>N</v>
      </c>
      <c r="X19" s="384">
        <v>34</v>
      </c>
      <c r="Y19" s="384">
        <v>37</v>
      </c>
      <c r="Z19" s="384">
        <v>62</v>
      </c>
      <c r="AA19" s="384">
        <v>100</v>
      </c>
      <c r="AB19" s="385">
        <v>137</v>
      </c>
    </row>
    <row r="20" spans="2:28" x14ac:dyDescent="0.3">
      <c r="B20" s="12">
        <v>1.2</v>
      </c>
      <c r="C20" s="25">
        <v>2016</v>
      </c>
      <c r="D20" s="25">
        <v>2160</v>
      </c>
      <c r="E20" s="25">
        <v>2592</v>
      </c>
      <c r="F20" s="25">
        <v>2992</v>
      </c>
      <c r="G20" s="26">
        <v>3339</v>
      </c>
      <c r="I20" s="17" t="s">
        <v>99</v>
      </c>
      <c r="J20" s="18"/>
      <c r="K20" s="431" t="str">
        <f>IF(Overview!$F$17="High-rise, Low-rise",'Rent Roll'!$Z15,"N")</f>
        <v>N</v>
      </c>
      <c r="L20" s="384">
        <v>21</v>
      </c>
      <c r="M20" s="384">
        <v>21</v>
      </c>
      <c r="N20" s="384">
        <v>21</v>
      </c>
      <c r="O20" s="384">
        <v>21</v>
      </c>
      <c r="P20" s="385">
        <v>21</v>
      </c>
      <c r="Q20" s="431" t="str">
        <f>IF(Overview!$F$17="Townhouse, Duplex, Triplex, Fourplex",'Rent Roll'!$Z15,"N")</f>
        <v>N</v>
      </c>
      <c r="R20" s="384">
        <v>21</v>
      </c>
      <c r="S20" s="384">
        <v>21</v>
      </c>
      <c r="T20" s="384">
        <v>21</v>
      </c>
      <c r="U20" s="384">
        <v>21</v>
      </c>
      <c r="V20" s="385">
        <v>21</v>
      </c>
      <c r="W20" s="431" t="str">
        <f>IF(Overview!$F$17="Single Family Detached, Manufactured Home",'Rent Roll'!$Z15,"N")</f>
        <v>N</v>
      </c>
      <c r="X20" s="384">
        <v>21</v>
      </c>
      <c r="Y20" s="384">
        <v>21</v>
      </c>
      <c r="Z20" s="384">
        <v>21</v>
      </c>
      <c r="AA20" s="384">
        <v>21</v>
      </c>
      <c r="AB20" s="385">
        <v>21</v>
      </c>
    </row>
    <row r="21" spans="2:28" x14ac:dyDescent="0.3">
      <c r="B21" s="12" t="s">
        <v>355</v>
      </c>
      <c r="C21" s="25">
        <f>920/0.4</f>
        <v>2300</v>
      </c>
      <c r="D21" s="25">
        <f>1019/0.4</f>
        <v>2547.5</v>
      </c>
      <c r="E21" s="25">
        <f>1291/0.4</f>
        <v>3227.5</v>
      </c>
      <c r="F21" s="25">
        <f>1595/0.4</f>
        <v>3987.5</v>
      </c>
      <c r="G21" s="26">
        <f>1719/0.4</f>
        <v>4297.5</v>
      </c>
      <c r="I21" s="17" t="s">
        <v>100</v>
      </c>
      <c r="J21" s="18"/>
      <c r="K21" s="431" t="str">
        <f>IF(Overview!$F$17="High-rise, Low-rise",'Rent Roll'!$Z16,"N")</f>
        <v>N</v>
      </c>
      <c r="L21" s="384">
        <v>14</v>
      </c>
      <c r="M21" s="384">
        <v>14</v>
      </c>
      <c r="N21" s="384">
        <v>14</v>
      </c>
      <c r="O21" s="384">
        <v>14</v>
      </c>
      <c r="P21" s="385">
        <v>14</v>
      </c>
      <c r="Q21" s="431" t="str">
        <f>IF(Overview!$F$17="Townhouse, Duplex, Triplex, Fourplex",'Rent Roll'!$Z16,"N")</f>
        <v>N</v>
      </c>
      <c r="R21" s="384">
        <v>14</v>
      </c>
      <c r="S21" s="384">
        <v>14</v>
      </c>
      <c r="T21" s="384">
        <v>14</v>
      </c>
      <c r="U21" s="384">
        <v>14</v>
      </c>
      <c r="V21" s="385">
        <v>14</v>
      </c>
      <c r="W21" s="431" t="str">
        <f>IF(Overview!$F$17="Single Family Detached, Manufactured Home",'Rent Roll'!$Z16,"N")</f>
        <v>N</v>
      </c>
      <c r="X21" s="384">
        <v>14</v>
      </c>
      <c r="Y21" s="384">
        <v>14</v>
      </c>
      <c r="Z21" s="384">
        <v>14</v>
      </c>
      <c r="AA21" s="384">
        <v>14</v>
      </c>
      <c r="AB21" s="385">
        <v>14</v>
      </c>
    </row>
    <row r="22" spans="2:28" x14ac:dyDescent="0.3">
      <c r="B22" s="24" t="s">
        <v>356</v>
      </c>
      <c r="C22" s="25">
        <f>SUM(SUMIFS(L$10:L$23,$K$10:$K$23,"Y"),SUMIFS(R$10:R$23,$Q$10:$Q$23,"Y"),SUMIFS(X$10:X$23,$W$10:$W$23,"Y"))</f>
        <v>0</v>
      </c>
      <c r="D22" s="25">
        <f>SUM(SUMIFS(M$10:M$23,$K$10:$K$23,"Y"),SUMIFS(S$10:S$23,$Q$10:$Q$23,"Y"),SUMIFS(Y$10:Y$23,$W$10:$W$23,"Y"))</f>
        <v>0</v>
      </c>
      <c r="E22" s="25">
        <f>SUM(SUMIFS(N$10:N$23,$K$10:$K$23,"Y"),SUMIFS(T$10:T$23,$Q$10:$Q$23,"Y"),SUMIFS(Z$10:Z$23,$W$10:$W$23,"Y"))</f>
        <v>0</v>
      </c>
      <c r="F22" s="25">
        <f>SUM(SUMIFS(O$10:O$23,$K$10:$K$23,"Y"),SUMIFS(U$10:U$23,$Q$10:$Q$23,"Y"),SUMIFS(AA$10:AA$23,$W$10:$W$23,"Y"))</f>
        <v>0</v>
      </c>
      <c r="G22" s="26">
        <f>SUM(SUMIFS(P$10:P$23,$K$10:$K$23,"Y"),SUMIFS(V$10:V$23,$Q$10:$Q$23,"Y"),SUMIFS(AB$10:AB$23,$W$10:$W$23,"Y"))</f>
        <v>0</v>
      </c>
      <c r="I22" s="17" t="s">
        <v>101</v>
      </c>
      <c r="J22" s="18"/>
      <c r="K22" s="431" t="str">
        <f>IF(Overview!$F$17="High-rise, Low-rise",'Rent Roll'!$Z17,"N")</f>
        <v>N</v>
      </c>
      <c r="L22" s="384">
        <v>10</v>
      </c>
      <c r="M22" s="384">
        <v>10</v>
      </c>
      <c r="N22" s="384">
        <v>10</v>
      </c>
      <c r="O22" s="384">
        <v>10</v>
      </c>
      <c r="P22" s="385">
        <v>10</v>
      </c>
      <c r="Q22" s="431" t="str">
        <f>IF(Overview!$F$17="Townhouse, Duplex, Triplex, Fourplex",'Rent Roll'!$Z17,"N")</f>
        <v>N</v>
      </c>
      <c r="R22" s="384">
        <v>10</v>
      </c>
      <c r="S22" s="384">
        <v>10</v>
      </c>
      <c r="T22" s="384">
        <v>10</v>
      </c>
      <c r="U22" s="384">
        <v>10</v>
      </c>
      <c r="V22" s="385">
        <v>10</v>
      </c>
      <c r="W22" s="431" t="str">
        <f>IF(Overview!$F$17="Single Family Detached, Manufactured Home",'Rent Roll'!$Z17,"N")</f>
        <v>N</v>
      </c>
      <c r="X22" s="384">
        <v>10</v>
      </c>
      <c r="Y22" s="384">
        <v>10</v>
      </c>
      <c r="Z22" s="384">
        <v>10</v>
      </c>
      <c r="AA22" s="384">
        <v>10</v>
      </c>
      <c r="AB22" s="385">
        <v>10</v>
      </c>
    </row>
    <row r="23" spans="2:28" x14ac:dyDescent="0.3">
      <c r="B23" s="21"/>
      <c r="C23" s="27"/>
      <c r="D23" s="27"/>
      <c r="E23" s="27"/>
      <c r="F23" s="28"/>
      <c r="G23" s="29"/>
      <c r="I23" s="19"/>
      <c r="J23" s="20"/>
      <c r="K23" s="21"/>
      <c r="L23" s="86"/>
      <c r="M23" s="22"/>
      <c r="N23" s="22"/>
      <c r="O23" s="22"/>
      <c r="P23" s="23"/>
      <c r="Q23" s="21"/>
      <c r="R23" s="86"/>
      <c r="S23" s="22"/>
      <c r="T23" s="22"/>
      <c r="U23" s="22"/>
      <c r="V23" s="23"/>
      <c r="W23" s="21"/>
      <c r="X23" s="86"/>
      <c r="Y23" s="22"/>
      <c r="Z23" s="22"/>
      <c r="AA23" s="22"/>
      <c r="AB23" s="23"/>
    </row>
    <row r="27" spans="2:28" x14ac:dyDescent="0.3">
      <c r="B27" s="6" t="s">
        <v>357</v>
      </c>
      <c r="C27" s="7"/>
      <c r="D27" s="7"/>
      <c r="E27" s="7"/>
      <c r="F27" s="7"/>
      <c r="G27" s="7"/>
      <c r="H27" s="7"/>
      <c r="I27" s="7"/>
      <c r="J27" s="8"/>
      <c r="L27" s="6" t="s">
        <v>8</v>
      </c>
      <c r="M27" s="9"/>
      <c r="N27" s="9"/>
      <c r="O27" s="9"/>
      <c r="P27" s="9"/>
      <c r="Q27" s="89"/>
      <c r="S27" s="6" t="s">
        <v>358</v>
      </c>
      <c r="T27" s="9"/>
      <c r="U27" s="9"/>
      <c r="V27" s="9"/>
      <c r="W27" s="9"/>
      <c r="X27" s="9"/>
      <c r="Y27" s="9"/>
      <c r="Z27" s="9"/>
      <c r="AA27" s="89"/>
    </row>
    <row r="28" spans="2:28" ht="13.95" customHeight="1" x14ac:dyDescent="0.3">
      <c r="B28" s="361" t="s">
        <v>34</v>
      </c>
      <c r="C28" s="10" t="s">
        <v>359</v>
      </c>
      <c r="D28" s="10" t="s">
        <v>360</v>
      </c>
      <c r="E28" s="10" t="s">
        <v>361</v>
      </c>
      <c r="F28" s="10" t="s">
        <v>362</v>
      </c>
      <c r="G28" s="10" t="s">
        <v>363</v>
      </c>
      <c r="H28" s="10" t="s">
        <v>364</v>
      </c>
      <c r="I28" s="10" t="s">
        <v>365</v>
      </c>
      <c r="J28" s="10" t="s">
        <v>366</v>
      </c>
      <c r="L28" s="454" t="s">
        <v>10</v>
      </c>
      <c r="M28" s="454" t="s">
        <v>367</v>
      </c>
      <c r="N28" s="454" t="s">
        <v>12</v>
      </c>
      <c r="O28" s="454" t="s">
        <v>368</v>
      </c>
      <c r="P28" s="454" t="s">
        <v>14</v>
      </c>
      <c r="Q28" s="454" t="s">
        <v>15</v>
      </c>
      <c r="S28" s="533" t="s">
        <v>369</v>
      </c>
      <c r="T28" s="534"/>
      <c r="U28" s="535"/>
      <c r="V28" s="501" t="s">
        <v>370</v>
      </c>
      <c r="W28" s="533" t="s">
        <v>371</v>
      </c>
      <c r="X28" s="534"/>
      <c r="Y28" s="534"/>
      <c r="Z28" s="534"/>
      <c r="AA28" s="535"/>
    </row>
    <row r="29" spans="2:28" x14ac:dyDescent="0.3">
      <c r="B29" s="11">
        <v>1.5</v>
      </c>
      <c r="C29" s="334">
        <f>ROUND(C$34*$B29,0)</f>
        <v>100800</v>
      </c>
      <c r="D29" s="334">
        <f t="shared" ref="D29:J44" si="0">ROUND(D$34*$B29,0)</f>
        <v>115200</v>
      </c>
      <c r="E29" s="334">
        <f t="shared" si="0"/>
        <v>129600</v>
      </c>
      <c r="F29" s="334">
        <f t="shared" si="0"/>
        <v>143850</v>
      </c>
      <c r="G29" s="334">
        <f t="shared" si="0"/>
        <v>155400</v>
      </c>
      <c r="H29" s="334">
        <f t="shared" si="0"/>
        <v>166950</v>
      </c>
      <c r="I29" s="334">
        <f t="shared" si="0"/>
        <v>178500</v>
      </c>
      <c r="J29" s="335">
        <f t="shared" si="0"/>
        <v>189900</v>
      </c>
      <c r="L29" s="455"/>
      <c r="M29" s="455"/>
      <c r="N29" s="455"/>
      <c r="O29" s="455"/>
      <c r="P29" s="455"/>
      <c r="Q29" s="455"/>
      <c r="S29" s="536"/>
      <c r="T29" s="537"/>
      <c r="U29" s="538"/>
      <c r="V29" s="502"/>
      <c r="W29" s="536"/>
      <c r="X29" s="537"/>
      <c r="Y29" s="537"/>
      <c r="Z29" s="537"/>
      <c r="AA29" s="538"/>
    </row>
    <row r="30" spans="2:28" x14ac:dyDescent="0.3">
      <c r="B30" s="12">
        <v>1.4</v>
      </c>
      <c r="C30" s="25">
        <f>ROUND(C$34*$B30,0)</f>
        <v>94080</v>
      </c>
      <c r="D30" s="25">
        <f t="shared" si="0"/>
        <v>107520</v>
      </c>
      <c r="E30" s="25">
        <f t="shared" si="0"/>
        <v>120960</v>
      </c>
      <c r="F30" s="25">
        <f t="shared" si="0"/>
        <v>134260</v>
      </c>
      <c r="G30" s="25">
        <f t="shared" si="0"/>
        <v>145040</v>
      </c>
      <c r="H30" s="25">
        <f t="shared" si="0"/>
        <v>155820</v>
      </c>
      <c r="I30" s="25">
        <f t="shared" si="0"/>
        <v>166600</v>
      </c>
      <c r="J30" s="26">
        <f t="shared" si="0"/>
        <v>177240</v>
      </c>
      <c r="L30" s="455"/>
      <c r="M30" s="456"/>
      <c r="N30" s="456"/>
      <c r="O30" s="456"/>
      <c r="P30" s="456"/>
      <c r="Q30" s="456"/>
      <c r="S30" s="536"/>
      <c r="T30" s="537"/>
      <c r="U30" s="538"/>
      <c r="V30" s="502"/>
      <c r="W30" s="539"/>
      <c r="X30" s="540"/>
      <c r="Y30" s="540"/>
      <c r="Z30" s="540"/>
      <c r="AA30" s="541"/>
    </row>
    <row r="31" spans="2:28" x14ac:dyDescent="0.3">
      <c r="B31" s="12">
        <v>1.25</v>
      </c>
      <c r="C31" s="25">
        <f>ROUND(C$34*$B31,0)</f>
        <v>84000</v>
      </c>
      <c r="D31" s="25">
        <f t="shared" si="0"/>
        <v>96000</v>
      </c>
      <c r="E31" s="25">
        <f t="shared" si="0"/>
        <v>108000</v>
      </c>
      <c r="F31" s="25">
        <f t="shared" si="0"/>
        <v>119875</v>
      </c>
      <c r="G31" s="25">
        <f t="shared" si="0"/>
        <v>129500</v>
      </c>
      <c r="H31" s="25">
        <f t="shared" si="0"/>
        <v>139125</v>
      </c>
      <c r="I31" s="25">
        <f t="shared" si="0"/>
        <v>148750</v>
      </c>
      <c r="J31" s="26">
        <f t="shared" si="0"/>
        <v>158250</v>
      </c>
      <c r="L31" s="456"/>
      <c r="M31" s="433" t="s">
        <v>19</v>
      </c>
      <c r="N31" s="433" t="s">
        <v>20</v>
      </c>
      <c r="O31" s="433" t="s">
        <v>21</v>
      </c>
      <c r="P31" s="433" t="s">
        <v>22</v>
      </c>
      <c r="Q31" s="433" t="s">
        <v>23</v>
      </c>
      <c r="S31" s="539"/>
      <c r="T31" s="540"/>
      <c r="U31" s="541"/>
      <c r="V31" s="503"/>
      <c r="W31" s="361" t="s">
        <v>372</v>
      </c>
      <c r="X31" s="361" t="s">
        <v>373</v>
      </c>
      <c r="Y31" s="361" t="s">
        <v>374</v>
      </c>
      <c r="Z31" s="361" t="s">
        <v>375</v>
      </c>
      <c r="AA31" s="361" t="s">
        <v>376</v>
      </c>
    </row>
    <row r="32" spans="2:28" x14ac:dyDescent="0.3">
      <c r="B32" s="12">
        <v>1.2</v>
      </c>
      <c r="C32" s="25">
        <f>ROUND(C$34*$B32,0)</f>
        <v>80640</v>
      </c>
      <c r="D32" s="25">
        <f t="shared" si="0"/>
        <v>92160</v>
      </c>
      <c r="E32" s="25">
        <f t="shared" si="0"/>
        <v>103680</v>
      </c>
      <c r="F32" s="25">
        <f t="shared" si="0"/>
        <v>115080</v>
      </c>
      <c r="G32" s="25">
        <f t="shared" si="0"/>
        <v>124320</v>
      </c>
      <c r="H32" s="25">
        <f t="shared" si="0"/>
        <v>133560</v>
      </c>
      <c r="I32" s="25">
        <f t="shared" si="0"/>
        <v>142800</v>
      </c>
      <c r="J32" s="26">
        <f t="shared" si="0"/>
        <v>151920</v>
      </c>
      <c r="L32" s="11">
        <v>0.2</v>
      </c>
      <c r="M32" s="386">
        <v>5.0000000000000001E-3</v>
      </c>
      <c r="N32" s="386">
        <v>0.01</v>
      </c>
      <c r="O32" s="386">
        <v>5.0000000000000001E-3</v>
      </c>
      <c r="P32" s="386">
        <v>0.01</v>
      </c>
      <c r="Q32" s="341" t="str">
        <f>SWHP!$X$71</f>
        <v>TBD</v>
      </c>
      <c r="S32" s="186" t="s">
        <v>377</v>
      </c>
      <c r="T32" s="187"/>
      <c r="U32" s="184"/>
      <c r="V32" s="389">
        <v>17.042999999999999</v>
      </c>
      <c r="W32" s="390">
        <v>1</v>
      </c>
      <c r="X32" s="390">
        <v>0.5</v>
      </c>
      <c r="Y32" s="390">
        <v>1</v>
      </c>
      <c r="Z32" s="390">
        <v>0</v>
      </c>
      <c r="AA32" s="188">
        <f t="shared" ref="AA32:AA48" ca="1" si="1">$AA$49/$V$49</f>
        <v>0.30946452992951573</v>
      </c>
    </row>
    <row r="33" spans="2:27" x14ac:dyDescent="0.3">
      <c r="B33" s="12">
        <v>1.1000000000000001</v>
      </c>
      <c r="C33" s="25">
        <f>ROUND(C$34*$B33,0)</f>
        <v>73920</v>
      </c>
      <c r="D33" s="25">
        <f t="shared" si="0"/>
        <v>84480</v>
      </c>
      <c r="E33" s="25">
        <f t="shared" si="0"/>
        <v>95040</v>
      </c>
      <c r="F33" s="25">
        <f t="shared" si="0"/>
        <v>105490</v>
      </c>
      <c r="G33" s="25">
        <f t="shared" si="0"/>
        <v>113960</v>
      </c>
      <c r="H33" s="25">
        <f t="shared" si="0"/>
        <v>122430</v>
      </c>
      <c r="I33" s="25">
        <f t="shared" si="0"/>
        <v>130900</v>
      </c>
      <c r="J33" s="26">
        <f t="shared" si="0"/>
        <v>139260</v>
      </c>
      <c r="L33" s="12">
        <v>0.3</v>
      </c>
      <c r="M33" s="387">
        <v>5.0000000000000001E-3</v>
      </c>
      <c r="N33" s="387">
        <v>0.01</v>
      </c>
      <c r="O33" s="387">
        <v>5.0000000000000001E-3</v>
      </c>
      <c r="P33" s="387">
        <v>0.01</v>
      </c>
      <c r="Q33" s="197" t="str">
        <f>SWHP!$X$71</f>
        <v>TBD</v>
      </c>
      <c r="S33" s="17" t="s">
        <v>378</v>
      </c>
      <c r="U33" s="185"/>
      <c r="V33" s="391">
        <v>6</v>
      </c>
      <c r="W33" s="392">
        <v>1</v>
      </c>
      <c r="X33" s="392">
        <v>0.5</v>
      </c>
      <c r="Y33" s="392">
        <v>1</v>
      </c>
      <c r="Z33" s="392">
        <v>0</v>
      </c>
      <c r="AA33" s="189">
        <f t="shared" ca="1" si="1"/>
        <v>0.30946452992951573</v>
      </c>
    </row>
    <row r="34" spans="2:27" x14ac:dyDescent="0.3">
      <c r="B34" s="12">
        <v>1</v>
      </c>
      <c r="C34" s="25">
        <v>67200</v>
      </c>
      <c r="D34" s="25">
        <v>76800</v>
      </c>
      <c r="E34" s="25">
        <v>86400</v>
      </c>
      <c r="F34" s="25">
        <v>95900</v>
      </c>
      <c r="G34" s="25">
        <v>103600</v>
      </c>
      <c r="H34" s="25">
        <v>111300</v>
      </c>
      <c r="I34" s="25">
        <v>119000</v>
      </c>
      <c r="J34" s="26">
        <v>126600</v>
      </c>
      <c r="L34" s="12">
        <v>0.4</v>
      </c>
      <c r="M34" s="387">
        <v>5.0000000000000001E-3</v>
      </c>
      <c r="N34" s="387">
        <v>0.01</v>
      </c>
      <c r="O34" s="387">
        <v>5.0000000000000001E-3</v>
      </c>
      <c r="P34" s="387">
        <v>0.01</v>
      </c>
      <c r="Q34" s="197" t="str">
        <f>SWHP!$X$71</f>
        <v>TBD</v>
      </c>
      <c r="S34" s="17" t="s">
        <v>379</v>
      </c>
      <c r="U34" s="185"/>
      <c r="V34" s="391">
        <v>0.9829</v>
      </c>
      <c r="W34" s="392">
        <v>0</v>
      </c>
      <c r="X34" s="392">
        <v>0</v>
      </c>
      <c r="Y34" s="392">
        <v>0</v>
      </c>
      <c r="Z34" s="392">
        <v>0</v>
      </c>
      <c r="AA34" s="189">
        <f t="shared" ca="1" si="1"/>
        <v>0.30946452992951573</v>
      </c>
    </row>
    <row r="35" spans="2:27" x14ac:dyDescent="0.3">
      <c r="B35" s="12">
        <v>0.9</v>
      </c>
      <c r="C35" s="25">
        <f t="shared" ref="C35:C46" si="2">ROUND(C$34*$B35,0)</f>
        <v>60480</v>
      </c>
      <c r="D35" s="25">
        <f t="shared" si="0"/>
        <v>69120</v>
      </c>
      <c r="E35" s="25">
        <f t="shared" si="0"/>
        <v>77760</v>
      </c>
      <c r="F35" s="25">
        <f t="shared" si="0"/>
        <v>86310</v>
      </c>
      <c r="G35" s="25">
        <f t="shared" si="0"/>
        <v>93240</v>
      </c>
      <c r="H35" s="25">
        <f t="shared" si="0"/>
        <v>100170</v>
      </c>
      <c r="I35" s="25">
        <f t="shared" si="0"/>
        <v>107100</v>
      </c>
      <c r="J35" s="26">
        <f t="shared" si="0"/>
        <v>113940</v>
      </c>
      <c r="L35" s="12">
        <v>0.5</v>
      </c>
      <c r="M35" s="387">
        <v>5.0000000000000001E-3</v>
      </c>
      <c r="N35" s="387">
        <v>0.01</v>
      </c>
      <c r="O35" s="387">
        <v>5.0000000000000001E-3</v>
      </c>
      <c r="P35" s="387">
        <v>0.01</v>
      </c>
      <c r="Q35" s="197" t="str">
        <f>SWHP!$X$71</f>
        <v>TBD</v>
      </c>
      <c r="S35" s="17" t="s">
        <v>380</v>
      </c>
      <c r="U35" s="185"/>
      <c r="V35" s="391">
        <v>0.2442</v>
      </c>
      <c r="W35" s="392">
        <v>0</v>
      </c>
      <c r="X35" s="392">
        <v>0</v>
      </c>
      <c r="Y35" s="392">
        <v>0</v>
      </c>
      <c r="Z35" s="392">
        <v>0</v>
      </c>
      <c r="AA35" s="189">
        <f t="shared" ca="1" si="1"/>
        <v>0.30946452992951573</v>
      </c>
    </row>
    <row r="36" spans="2:27" x14ac:dyDescent="0.3">
      <c r="B36" s="12">
        <v>0.8</v>
      </c>
      <c r="C36" s="25">
        <f t="shared" si="2"/>
        <v>53760</v>
      </c>
      <c r="D36" s="25">
        <f t="shared" si="0"/>
        <v>61440</v>
      </c>
      <c r="E36" s="25">
        <f t="shared" si="0"/>
        <v>69120</v>
      </c>
      <c r="F36" s="25">
        <f t="shared" si="0"/>
        <v>76720</v>
      </c>
      <c r="G36" s="25">
        <f t="shared" si="0"/>
        <v>82880</v>
      </c>
      <c r="H36" s="25">
        <f t="shared" si="0"/>
        <v>89040</v>
      </c>
      <c r="I36" s="25">
        <f t="shared" si="0"/>
        <v>95200</v>
      </c>
      <c r="J36" s="26">
        <f t="shared" si="0"/>
        <v>101280</v>
      </c>
      <c r="L36" s="12">
        <v>0.6</v>
      </c>
      <c r="M36" s="387">
        <v>5.0000000000000001E-3</v>
      </c>
      <c r="N36" s="387">
        <v>0.01</v>
      </c>
      <c r="O36" s="387">
        <v>5.0000000000000001E-3</v>
      </c>
      <c r="P36" s="387">
        <v>0.01</v>
      </c>
      <c r="Q36" s="197" t="str">
        <f>SWHP!$X$71</f>
        <v>TBD</v>
      </c>
      <c r="S36" s="17" t="s">
        <v>381</v>
      </c>
      <c r="U36" s="185"/>
      <c r="V36" s="391">
        <v>0.93579999999999997</v>
      </c>
      <c r="W36" s="392">
        <v>0</v>
      </c>
      <c r="X36" s="392">
        <v>0</v>
      </c>
      <c r="Y36" s="392">
        <v>0</v>
      </c>
      <c r="Z36" s="392">
        <v>0</v>
      </c>
      <c r="AA36" s="189">
        <f t="shared" ca="1" si="1"/>
        <v>0.30946452992951573</v>
      </c>
    </row>
    <row r="37" spans="2:27" x14ac:dyDescent="0.3">
      <c r="B37" s="12">
        <v>0.7</v>
      </c>
      <c r="C37" s="25">
        <f t="shared" si="2"/>
        <v>47040</v>
      </c>
      <c r="D37" s="25">
        <f t="shared" si="0"/>
        <v>53760</v>
      </c>
      <c r="E37" s="25">
        <f t="shared" si="0"/>
        <v>60480</v>
      </c>
      <c r="F37" s="25">
        <f t="shared" si="0"/>
        <v>67130</v>
      </c>
      <c r="G37" s="25">
        <f t="shared" si="0"/>
        <v>72520</v>
      </c>
      <c r="H37" s="25">
        <f t="shared" si="0"/>
        <v>77910</v>
      </c>
      <c r="I37" s="25">
        <f t="shared" si="0"/>
        <v>83300</v>
      </c>
      <c r="J37" s="26">
        <f t="shared" si="0"/>
        <v>88620</v>
      </c>
      <c r="L37" s="12">
        <v>0.7</v>
      </c>
      <c r="M37" s="387">
        <v>0.02</v>
      </c>
      <c r="N37" s="387">
        <v>0.04</v>
      </c>
      <c r="O37" s="387">
        <v>0.02</v>
      </c>
      <c r="P37" s="387">
        <v>0.04</v>
      </c>
      <c r="Q37" s="197" t="str">
        <f>SWHP!$X$71</f>
        <v>TBD</v>
      </c>
      <c r="S37" s="17" t="s">
        <v>382</v>
      </c>
      <c r="U37" s="185"/>
      <c r="V37" s="391">
        <v>9.5600000000000004E-2</v>
      </c>
      <c r="W37" s="392">
        <v>0</v>
      </c>
      <c r="X37" s="392">
        <v>0</v>
      </c>
      <c r="Y37" s="392">
        <v>0</v>
      </c>
      <c r="Z37" s="392">
        <v>0</v>
      </c>
      <c r="AA37" s="189">
        <f t="shared" ca="1" si="1"/>
        <v>0.30946452992951573</v>
      </c>
    </row>
    <row r="38" spans="2:27" x14ac:dyDescent="0.3">
      <c r="B38" s="12">
        <v>0.6</v>
      </c>
      <c r="C38" s="25">
        <f t="shared" si="2"/>
        <v>40320</v>
      </c>
      <c r="D38" s="25">
        <f t="shared" si="0"/>
        <v>46080</v>
      </c>
      <c r="E38" s="25">
        <f t="shared" si="0"/>
        <v>51840</v>
      </c>
      <c r="F38" s="25">
        <f t="shared" si="0"/>
        <v>57540</v>
      </c>
      <c r="G38" s="25">
        <f t="shared" si="0"/>
        <v>62160</v>
      </c>
      <c r="H38" s="25">
        <f t="shared" si="0"/>
        <v>66780</v>
      </c>
      <c r="I38" s="25">
        <f t="shared" si="0"/>
        <v>71400</v>
      </c>
      <c r="J38" s="26">
        <f t="shared" si="0"/>
        <v>75960</v>
      </c>
      <c r="L38" s="12">
        <v>0.8</v>
      </c>
      <c r="M38" s="387">
        <v>0.02</v>
      </c>
      <c r="N38" s="387">
        <v>0.04</v>
      </c>
      <c r="O38" s="387">
        <v>0.02</v>
      </c>
      <c r="P38" s="387">
        <v>0.04</v>
      </c>
      <c r="Q38" s="197" t="str">
        <f>SWHP!$X$71</f>
        <v>TBD</v>
      </c>
      <c r="S38" s="17" t="s">
        <v>383</v>
      </c>
      <c r="U38" s="185"/>
      <c r="V38" s="391">
        <v>3.3443000000000001</v>
      </c>
      <c r="W38" s="392">
        <v>0</v>
      </c>
      <c r="X38" s="392">
        <v>0</v>
      </c>
      <c r="Y38" s="392">
        <v>0</v>
      </c>
      <c r="Z38" s="392">
        <v>0</v>
      </c>
      <c r="AA38" s="189">
        <f t="shared" ca="1" si="1"/>
        <v>0.30946452992951573</v>
      </c>
    </row>
    <row r="39" spans="2:27" x14ac:dyDescent="0.3">
      <c r="B39" s="12">
        <v>0.55000000000000004</v>
      </c>
      <c r="C39" s="25">
        <f t="shared" si="2"/>
        <v>36960</v>
      </c>
      <c r="D39" s="25">
        <f t="shared" si="0"/>
        <v>42240</v>
      </c>
      <c r="E39" s="25">
        <f t="shared" si="0"/>
        <v>47520</v>
      </c>
      <c r="F39" s="25">
        <f t="shared" si="0"/>
        <v>52745</v>
      </c>
      <c r="G39" s="25">
        <f t="shared" si="0"/>
        <v>56980</v>
      </c>
      <c r="H39" s="25">
        <f t="shared" si="0"/>
        <v>61215</v>
      </c>
      <c r="I39" s="25">
        <f t="shared" si="0"/>
        <v>65450</v>
      </c>
      <c r="J39" s="26">
        <f t="shared" si="0"/>
        <v>69630</v>
      </c>
      <c r="L39" s="12">
        <v>0.9</v>
      </c>
      <c r="M39" s="388" t="s">
        <v>131</v>
      </c>
      <c r="N39" s="388" t="s">
        <v>131</v>
      </c>
      <c r="O39" s="387">
        <v>3.5000000000000003E-2</v>
      </c>
      <c r="P39" s="388" t="s">
        <v>131</v>
      </c>
      <c r="Q39" s="197" t="str">
        <f>SWHP!$X$71</f>
        <v>TBD</v>
      </c>
      <c r="S39" s="17" t="s">
        <v>384</v>
      </c>
      <c r="U39" s="185"/>
      <c r="V39" s="391">
        <v>1.9876</v>
      </c>
      <c r="W39" s="392">
        <v>0</v>
      </c>
      <c r="X39" s="392">
        <v>0</v>
      </c>
      <c r="Y39" s="392">
        <v>0</v>
      </c>
      <c r="Z39" s="392">
        <v>0</v>
      </c>
      <c r="AA39" s="189">
        <f t="shared" ca="1" si="1"/>
        <v>0.30946452992951573</v>
      </c>
    </row>
    <row r="40" spans="2:27" x14ac:dyDescent="0.3">
      <c r="B40" s="12">
        <v>0.5</v>
      </c>
      <c r="C40" s="25">
        <f t="shared" si="2"/>
        <v>33600</v>
      </c>
      <c r="D40" s="25">
        <f t="shared" si="0"/>
        <v>38400</v>
      </c>
      <c r="E40" s="25">
        <f t="shared" si="0"/>
        <v>43200</v>
      </c>
      <c r="F40" s="25">
        <f t="shared" si="0"/>
        <v>47950</v>
      </c>
      <c r="G40" s="25">
        <f t="shared" si="0"/>
        <v>51800</v>
      </c>
      <c r="H40" s="25">
        <f t="shared" si="0"/>
        <v>55650</v>
      </c>
      <c r="I40" s="25">
        <f t="shared" si="0"/>
        <v>59500</v>
      </c>
      <c r="J40" s="26">
        <f t="shared" si="0"/>
        <v>63300</v>
      </c>
      <c r="L40" s="12">
        <v>1</v>
      </c>
      <c r="M40" s="388" t="s">
        <v>131</v>
      </c>
      <c r="N40" s="388" t="s">
        <v>131</v>
      </c>
      <c r="O40" s="387">
        <v>3.5000000000000003E-2</v>
      </c>
      <c r="P40" s="388" t="s">
        <v>131</v>
      </c>
      <c r="Q40" s="197" t="str">
        <f>SWHP!$X$71</f>
        <v>TBD</v>
      </c>
      <c r="S40" s="17" t="s">
        <v>385</v>
      </c>
      <c r="U40" s="185"/>
      <c r="V40" s="391">
        <v>19.952000000000002</v>
      </c>
      <c r="W40" s="392">
        <v>0</v>
      </c>
      <c r="X40" s="392">
        <v>0</v>
      </c>
      <c r="Y40" s="392">
        <v>0</v>
      </c>
      <c r="Z40" s="392">
        <v>0</v>
      </c>
      <c r="AA40" s="189">
        <f t="shared" ca="1" si="1"/>
        <v>0.30946452992951573</v>
      </c>
    </row>
    <row r="41" spans="2:27" x14ac:dyDescent="0.3">
      <c r="B41" s="12">
        <v>0.45</v>
      </c>
      <c r="C41" s="25">
        <f t="shared" si="2"/>
        <v>30240</v>
      </c>
      <c r="D41" s="25">
        <f t="shared" si="0"/>
        <v>34560</v>
      </c>
      <c r="E41" s="25">
        <f t="shared" si="0"/>
        <v>38880</v>
      </c>
      <c r="F41" s="25">
        <f t="shared" si="0"/>
        <v>43155</v>
      </c>
      <c r="G41" s="25">
        <f t="shared" si="0"/>
        <v>46620</v>
      </c>
      <c r="H41" s="25">
        <f t="shared" si="0"/>
        <v>50085</v>
      </c>
      <c r="I41" s="25">
        <f t="shared" si="0"/>
        <v>53550</v>
      </c>
      <c r="J41" s="26">
        <f t="shared" si="0"/>
        <v>56970</v>
      </c>
      <c r="L41" s="12">
        <v>1.1000000000000001</v>
      </c>
      <c r="M41" s="388" t="s">
        <v>131</v>
      </c>
      <c r="N41" s="388" t="s">
        <v>131</v>
      </c>
      <c r="O41" s="387">
        <v>3.5000000000000003E-2</v>
      </c>
      <c r="P41" s="388" t="s">
        <v>131</v>
      </c>
      <c r="Q41" s="197" t="str">
        <f>SWHP!$X$71</f>
        <v>TBD</v>
      </c>
      <c r="S41" s="17" t="s">
        <v>386</v>
      </c>
      <c r="U41" s="185"/>
      <c r="V41" s="391">
        <v>4.6307</v>
      </c>
      <c r="W41" s="392">
        <v>0</v>
      </c>
      <c r="X41" s="392">
        <v>0</v>
      </c>
      <c r="Y41" s="392">
        <v>0</v>
      </c>
      <c r="Z41" s="392">
        <v>0</v>
      </c>
      <c r="AA41" s="189">
        <f t="shared" ca="1" si="1"/>
        <v>0.30946452992951573</v>
      </c>
    </row>
    <row r="42" spans="2:27" x14ac:dyDescent="0.3">
      <c r="B42" s="12">
        <v>0.4</v>
      </c>
      <c r="C42" s="25">
        <f t="shared" si="2"/>
        <v>26880</v>
      </c>
      <c r="D42" s="25">
        <f t="shared" si="0"/>
        <v>30720</v>
      </c>
      <c r="E42" s="25">
        <f t="shared" si="0"/>
        <v>34560</v>
      </c>
      <c r="F42" s="25">
        <f t="shared" si="0"/>
        <v>38360</v>
      </c>
      <c r="G42" s="25">
        <f t="shared" si="0"/>
        <v>41440</v>
      </c>
      <c r="H42" s="25">
        <f t="shared" si="0"/>
        <v>44520</v>
      </c>
      <c r="I42" s="25">
        <f t="shared" si="0"/>
        <v>47600</v>
      </c>
      <c r="J42" s="26">
        <f t="shared" si="0"/>
        <v>50640</v>
      </c>
      <c r="L42" s="12">
        <v>1.2</v>
      </c>
      <c r="M42" s="388" t="s">
        <v>131</v>
      </c>
      <c r="N42" s="388" t="s">
        <v>131</v>
      </c>
      <c r="O42" s="387">
        <v>3.5000000000000003E-2</v>
      </c>
      <c r="P42" s="388" t="s">
        <v>131</v>
      </c>
      <c r="Q42" s="197" t="str">
        <f>SWHP!$X$71</f>
        <v>TBD</v>
      </c>
      <c r="S42" s="17" t="s">
        <v>387</v>
      </c>
      <c r="U42" s="185"/>
      <c r="V42" s="391">
        <v>5.6098999999999997</v>
      </c>
      <c r="W42" s="392">
        <v>0</v>
      </c>
      <c r="X42" s="392">
        <v>0</v>
      </c>
      <c r="Y42" s="392">
        <v>0</v>
      </c>
      <c r="Z42" s="392">
        <v>0</v>
      </c>
      <c r="AA42" s="189">
        <f t="shared" ca="1" si="1"/>
        <v>0.30946452992951573</v>
      </c>
    </row>
    <row r="43" spans="2:27" x14ac:dyDescent="0.3">
      <c r="B43" s="12">
        <v>0.35</v>
      </c>
      <c r="C43" s="25">
        <f t="shared" si="2"/>
        <v>23520</v>
      </c>
      <c r="D43" s="25">
        <f t="shared" si="0"/>
        <v>26880</v>
      </c>
      <c r="E43" s="25">
        <f t="shared" si="0"/>
        <v>30240</v>
      </c>
      <c r="F43" s="25">
        <f t="shared" si="0"/>
        <v>33565</v>
      </c>
      <c r="G43" s="25">
        <f t="shared" si="0"/>
        <v>36260</v>
      </c>
      <c r="H43" s="25">
        <f t="shared" si="0"/>
        <v>38955</v>
      </c>
      <c r="I43" s="25">
        <f t="shared" si="0"/>
        <v>41650</v>
      </c>
      <c r="J43" s="26">
        <f t="shared" si="0"/>
        <v>44310</v>
      </c>
      <c r="L43" s="21"/>
      <c r="M43" s="22"/>
      <c r="N43" s="22"/>
      <c r="O43" s="22"/>
      <c r="P43" s="22"/>
      <c r="Q43" s="23"/>
      <c r="S43" s="17" t="s">
        <v>388</v>
      </c>
      <c r="U43" s="185"/>
      <c r="V43" s="391">
        <v>0.20699999999999999</v>
      </c>
      <c r="W43" s="392">
        <v>0</v>
      </c>
      <c r="X43" s="392">
        <v>0</v>
      </c>
      <c r="Y43" s="392">
        <v>0</v>
      </c>
      <c r="Z43" s="392">
        <v>0</v>
      </c>
      <c r="AA43" s="189">
        <f t="shared" ca="1" si="1"/>
        <v>0.30946452992951573</v>
      </c>
    </row>
    <row r="44" spans="2:27" x14ac:dyDescent="0.3">
      <c r="B44" s="12">
        <v>0.3</v>
      </c>
      <c r="C44" s="25">
        <f t="shared" si="2"/>
        <v>20160</v>
      </c>
      <c r="D44" s="25">
        <f t="shared" si="0"/>
        <v>23040</v>
      </c>
      <c r="E44" s="25">
        <f t="shared" si="0"/>
        <v>25920</v>
      </c>
      <c r="F44" s="25">
        <f t="shared" si="0"/>
        <v>28770</v>
      </c>
      <c r="G44" s="25">
        <f t="shared" si="0"/>
        <v>31080</v>
      </c>
      <c r="H44" s="25">
        <f t="shared" si="0"/>
        <v>33390</v>
      </c>
      <c r="I44" s="25">
        <f t="shared" si="0"/>
        <v>35700</v>
      </c>
      <c r="J44" s="26">
        <f t="shared" si="0"/>
        <v>37980</v>
      </c>
      <c r="S44" s="17" t="s">
        <v>389</v>
      </c>
      <c r="U44" s="185"/>
      <c r="V44" s="391">
        <v>3.2202000000000002</v>
      </c>
      <c r="W44" s="392">
        <v>0</v>
      </c>
      <c r="X44" s="392">
        <v>0</v>
      </c>
      <c r="Y44" s="392">
        <v>0</v>
      </c>
      <c r="Z44" s="392">
        <v>0</v>
      </c>
      <c r="AA44" s="189">
        <f t="shared" ca="1" si="1"/>
        <v>0.30946452992951573</v>
      </c>
    </row>
    <row r="45" spans="2:27" x14ac:dyDescent="0.3">
      <c r="B45" s="12">
        <v>0.25</v>
      </c>
      <c r="C45" s="25">
        <f t="shared" si="2"/>
        <v>16800</v>
      </c>
      <c r="D45" s="25">
        <f t="shared" ref="D45:J46" si="3">ROUND(D$34*$B45,0)</f>
        <v>19200</v>
      </c>
      <c r="E45" s="25">
        <f t="shared" si="3"/>
        <v>21600</v>
      </c>
      <c r="F45" s="25">
        <f t="shared" si="3"/>
        <v>23975</v>
      </c>
      <c r="G45" s="25">
        <f t="shared" si="3"/>
        <v>25900</v>
      </c>
      <c r="H45" s="25">
        <f t="shared" si="3"/>
        <v>27825</v>
      </c>
      <c r="I45" s="25">
        <f t="shared" si="3"/>
        <v>29750</v>
      </c>
      <c r="J45" s="26">
        <f t="shared" si="3"/>
        <v>31650</v>
      </c>
      <c r="S45" s="17" t="s">
        <v>390</v>
      </c>
      <c r="U45" s="185"/>
      <c r="V45" s="391">
        <v>13</v>
      </c>
      <c r="W45" s="392">
        <v>0</v>
      </c>
      <c r="X45" s="392">
        <v>0</v>
      </c>
      <c r="Y45" s="392">
        <v>0</v>
      </c>
      <c r="Z45" s="392">
        <v>0</v>
      </c>
      <c r="AA45" s="189">
        <f t="shared" ca="1" si="1"/>
        <v>0.30946452992951573</v>
      </c>
    </row>
    <row r="46" spans="2:27" x14ac:dyDescent="0.3">
      <c r="B46" s="12">
        <v>0.2</v>
      </c>
      <c r="C46" s="25">
        <f t="shared" si="2"/>
        <v>13440</v>
      </c>
      <c r="D46" s="25">
        <f t="shared" si="3"/>
        <v>15360</v>
      </c>
      <c r="E46" s="25">
        <f t="shared" si="3"/>
        <v>17280</v>
      </c>
      <c r="F46" s="25">
        <f t="shared" si="3"/>
        <v>19180</v>
      </c>
      <c r="G46" s="25">
        <f t="shared" si="3"/>
        <v>20720</v>
      </c>
      <c r="H46" s="25">
        <f t="shared" si="3"/>
        <v>22260</v>
      </c>
      <c r="I46" s="25">
        <f t="shared" si="3"/>
        <v>23800</v>
      </c>
      <c r="J46" s="26">
        <f t="shared" si="3"/>
        <v>25320</v>
      </c>
      <c r="S46" s="17" t="s">
        <v>391</v>
      </c>
      <c r="U46" s="185"/>
      <c r="V46" s="391">
        <v>8</v>
      </c>
      <c r="W46" s="392">
        <v>0</v>
      </c>
      <c r="X46" s="392">
        <v>0</v>
      </c>
      <c r="Y46" s="392">
        <v>0</v>
      </c>
      <c r="Z46" s="392">
        <v>0</v>
      </c>
      <c r="AA46" s="189">
        <f t="shared" ca="1" si="1"/>
        <v>0.30946452992951573</v>
      </c>
    </row>
    <row r="47" spans="2:27" x14ac:dyDescent="0.3">
      <c r="B47" s="21"/>
      <c r="C47" s="27"/>
      <c r="D47" s="27"/>
      <c r="E47" s="27"/>
      <c r="F47" s="27"/>
      <c r="G47" s="28"/>
      <c r="H47" s="28"/>
      <c r="I47" s="28"/>
      <c r="J47" s="29"/>
      <c r="S47" s="17" t="s">
        <v>392</v>
      </c>
      <c r="U47" s="185"/>
      <c r="V47" s="391">
        <v>0.1986</v>
      </c>
      <c r="W47" s="392">
        <v>0</v>
      </c>
      <c r="X47" s="392">
        <v>0</v>
      </c>
      <c r="Y47" s="392">
        <v>0</v>
      </c>
      <c r="Z47" s="392">
        <v>0</v>
      </c>
      <c r="AA47" s="189">
        <f t="shared" ca="1" si="1"/>
        <v>0.30946452992951573</v>
      </c>
    </row>
    <row r="48" spans="2:27" x14ac:dyDescent="0.3">
      <c r="S48" s="17" t="s">
        <v>393</v>
      </c>
      <c r="U48" s="185"/>
      <c r="V48" s="391">
        <v>9.9199999999999997E-2</v>
      </c>
      <c r="W48" s="392">
        <v>0</v>
      </c>
      <c r="X48" s="392">
        <v>0</v>
      </c>
      <c r="Y48" s="392">
        <v>0</v>
      </c>
      <c r="Z48" s="392">
        <v>0</v>
      </c>
      <c r="AA48" s="189">
        <f t="shared" ca="1" si="1"/>
        <v>0.30946452992951573</v>
      </c>
    </row>
    <row r="49" spans="3:27" ht="14.4" x14ac:dyDescent="0.3">
      <c r="C49"/>
      <c r="S49" s="191" t="s">
        <v>394</v>
      </c>
      <c r="T49" s="192"/>
      <c r="U49" s="193"/>
      <c r="V49" s="194">
        <f ca="1">SUM(OFFSET(V$31,1,0):OFFSET(V$49,-1,0))</f>
        <v>85.551000000000002</v>
      </c>
      <c r="W49" s="194">
        <f ca="1">SUMPRODUCT(OFFSET($V$31,1,0):OFFSET($V$49,-1,0),OFFSET(W$31,1,0):OFFSET(W$49,-1,0))</f>
        <v>23.042999999999999</v>
      </c>
      <c r="X49" s="194">
        <f ca="1">SUMPRODUCT(OFFSET($V$31,1,0):OFFSET($V$49,-1,0),OFFSET(X$31,1,0):OFFSET(X$49,-1,0))</f>
        <v>11.5215</v>
      </c>
      <c r="Y49" s="194">
        <f ca="1">SUMPRODUCT(OFFSET($V$31,1,0):OFFSET($V$49,-1,0),OFFSET(Y$31,1,0):OFFSET(Y$49,-1,0))</f>
        <v>23.042999999999999</v>
      </c>
      <c r="Z49" s="194">
        <f ca="1">SUMPRODUCT(OFFSET($V$31,1,0):OFFSET($V$49,-1,0),OFFSET(Z$31,1,0):OFFSET(Z$49,-1,0))</f>
        <v>0</v>
      </c>
      <c r="AA49" s="393">
        <v>26.475000000000001</v>
      </c>
    </row>
    <row r="50" spans="3:27" x14ac:dyDescent="0.3">
      <c r="S50" s="19"/>
      <c r="T50" s="190"/>
      <c r="U50" s="86"/>
      <c r="V50" s="22"/>
      <c r="W50" s="22"/>
      <c r="X50" s="22"/>
      <c r="Y50" s="22"/>
      <c r="Z50" s="22"/>
      <c r="AA50" s="23"/>
    </row>
  </sheetData>
  <sheetProtection algorithmName="SHA-512" hashValue="F/KzqDrltOUTM4zUt7kSfJ5yfNARwpA2XpE1v8Cg43nG0GKPdT7jN8s8jaDTkpCbLbSvhFKtBzlU4DiiBuMuJQ==" saltValue="hh3PCGrpyA5iljCf3VTXzA==" spinCount="100000" sheet="1"/>
  <mergeCells count="16">
    <mergeCell ref="I9:J10"/>
    <mergeCell ref="Q28:Q30"/>
    <mergeCell ref="S28:U31"/>
    <mergeCell ref="V28:V31"/>
    <mergeCell ref="W28:AA30"/>
    <mergeCell ref="L28:L31"/>
    <mergeCell ref="M28:M30"/>
    <mergeCell ref="N28:N30"/>
    <mergeCell ref="O28:O30"/>
    <mergeCell ref="P28:P30"/>
    <mergeCell ref="W8:AB8"/>
    <mergeCell ref="W9:AB9"/>
    <mergeCell ref="Q8:V8"/>
    <mergeCell ref="Q9:V9"/>
    <mergeCell ref="K9:P9"/>
    <mergeCell ref="K8:P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I18"/>
  <sheetViews>
    <sheetView workbookViewId="0"/>
  </sheetViews>
  <sheetFormatPr defaultColWidth="8.88671875" defaultRowHeight="13.8"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2.6640625" style="1" customWidth="1"/>
    <col min="10" max="10" width="31.44140625" style="1" bestFit="1" customWidth="1"/>
    <col min="11" max="11" width="12.6640625" style="1" customWidth="1"/>
    <col min="12" max="12" width="2.6640625" style="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36.44140625" style="80" bestFit="1" customWidth="1"/>
    <col min="22" max="22" width="2.6640625" style="1" customWidth="1"/>
    <col min="23" max="23" width="36.44140625" style="80" bestFit="1" customWidth="1"/>
    <col min="24" max="24" width="2.6640625" style="1" customWidth="1"/>
    <col min="25" max="25" width="36.44140625" style="80" bestFit="1" customWidth="1"/>
    <col min="26" max="27" width="12.6640625" style="1" customWidth="1"/>
    <col min="28" max="28" width="2.6640625" style="1" customWidth="1"/>
    <col min="29" max="29" width="15.33203125" style="80" bestFit="1" customWidth="1"/>
    <col min="30" max="30" width="2.6640625" style="1" customWidth="1"/>
    <col min="31" max="31" width="15.33203125" style="80" bestFit="1" customWidth="1"/>
    <col min="32" max="32" width="2.6640625" style="1" customWidth="1"/>
    <col min="33" max="33" width="15.33203125" style="80" bestFit="1" customWidth="1"/>
    <col min="34" max="34" width="2.6640625" style="1" customWidth="1"/>
    <col min="35" max="35" width="15.33203125" style="80" bestFit="1" customWidth="1"/>
    <col min="36" max="36" width="2.6640625" style="1" customWidth="1"/>
    <col min="37" max="16384" width="8.88671875" style="1"/>
  </cols>
  <sheetData>
    <row r="1" spans="2:35" s="2" customFormat="1" ht="15.6" x14ac:dyDescent="0.3">
      <c r="B1" s="2" t="s">
        <v>0</v>
      </c>
      <c r="U1" s="204"/>
      <c r="W1" s="204"/>
      <c r="Y1" s="204"/>
      <c r="AC1" s="204"/>
      <c r="AE1" s="204"/>
      <c r="AG1" s="204"/>
      <c r="AI1" s="204"/>
    </row>
    <row r="2" spans="2:35" x14ac:dyDescent="0.3">
      <c r="B2" s="1" t="s">
        <v>395</v>
      </c>
    </row>
    <row r="4" spans="2:35" x14ac:dyDescent="0.3">
      <c r="B4" s="81" t="s">
        <v>396</v>
      </c>
      <c r="D4" s="81" t="s">
        <v>397</v>
      </c>
      <c r="F4" s="81" t="s">
        <v>398</v>
      </c>
      <c r="H4" s="81" t="s">
        <v>399</v>
      </c>
      <c r="J4" s="81" t="s">
        <v>400</v>
      </c>
      <c r="K4" s="81" t="s">
        <v>401</v>
      </c>
      <c r="M4" s="81" t="s">
        <v>275</v>
      </c>
      <c r="O4" s="81" t="s">
        <v>402</v>
      </c>
      <c r="Q4" s="81" t="s">
        <v>323</v>
      </c>
      <c r="S4" s="81" t="s">
        <v>403</v>
      </c>
      <c r="U4" s="81" t="s">
        <v>404</v>
      </c>
      <c r="W4" s="81" t="s">
        <v>405</v>
      </c>
      <c r="Y4" s="81" t="s">
        <v>406</v>
      </c>
      <c r="Z4" s="81" t="s">
        <v>407</v>
      </c>
      <c r="AA4" s="81" t="s">
        <v>408</v>
      </c>
      <c r="AC4" s="81" t="s">
        <v>409</v>
      </c>
      <c r="AE4" s="81" t="s">
        <v>410</v>
      </c>
      <c r="AG4" s="81" t="s">
        <v>411</v>
      </c>
      <c r="AI4" s="81" t="s">
        <v>412</v>
      </c>
    </row>
    <row r="5" spans="2:35" x14ac:dyDescent="0.3">
      <c r="B5" s="80" t="s">
        <v>131</v>
      </c>
      <c r="D5" s="80" t="s">
        <v>131</v>
      </c>
      <c r="F5" s="80" t="s">
        <v>131</v>
      </c>
      <c r="H5" s="80" t="s">
        <v>131</v>
      </c>
      <c r="J5" s="80" t="s">
        <v>131</v>
      </c>
      <c r="K5" s="80" t="s">
        <v>131</v>
      </c>
      <c r="M5" s="80" t="s">
        <v>413</v>
      </c>
      <c r="O5" s="80" t="s">
        <v>208</v>
      </c>
      <c r="Q5" s="80" t="s">
        <v>372</v>
      </c>
      <c r="S5" s="330">
        <v>7.0000000000000007E-2</v>
      </c>
      <c r="U5" s="80" t="s">
        <v>347</v>
      </c>
      <c r="W5" s="80" t="s">
        <v>321</v>
      </c>
      <c r="Y5" s="80" t="s">
        <v>414</v>
      </c>
      <c r="Z5" s="180">
        <v>0.01</v>
      </c>
      <c r="AA5" s="180">
        <v>0.6</v>
      </c>
      <c r="AC5" s="80" t="s">
        <v>415</v>
      </c>
      <c r="AE5" s="80" t="s">
        <v>415</v>
      </c>
      <c r="AG5" s="80" t="s">
        <v>359</v>
      </c>
      <c r="AI5" s="80" t="s">
        <v>344</v>
      </c>
    </row>
    <row r="6" spans="2:35" x14ac:dyDescent="0.3">
      <c r="B6" s="80" t="s">
        <v>35</v>
      </c>
      <c r="D6" s="80" t="s">
        <v>63</v>
      </c>
      <c r="E6" s="80"/>
      <c r="F6" s="80" t="s">
        <v>416</v>
      </c>
      <c r="H6" s="80" t="s">
        <v>416</v>
      </c>
      <c r="J6" s="80" t="s">
        <v>417</v>
      </c>
      <c r="K6" s="80" t="s">
        <v>19</v>
      </c>
      <c r="M6" s="80" t="s">
        <v>418</v>
      </c>
      <c r="O6" s="80" t="s">
        <v>327</v>
      </c>
      <c r="Q6" s="80" t="s">
        <v>373</v>
      </c>
      <c r="S6" s="330">
        <v>7.4999999999999997E-2</v>
      </c>
      <c r="U6" s="80" t="s">
        <v>348</v>
      </c>
      <c r="W6" s="80" t="s">
        <v>132</v>
      </c>
      <c r="Y6" s="80" t="s">
        <v>419</v>
      </c>
      <c r="Z6" s="180">
        <v>0.61</v>
      </c>
      <c r="AA6" s="180">
        <v>0.8</v>
      </c>
      <c r="AC6" s="80" t="s">
        <v>420</v>
      </c>
      <c r="AE6" s="80" t="s">
        <v>421</v>
      </c>
      <c r="AG6" s="80" t="s">
        <v>360</v>
      </c>
      <c r="AI6" s="80" t="s">
        <v>422</v>
      </c>
    </row>
    <row r="7" spans="2:35" x14ac:dyDescent="0.3">
      <c r="B7" s="80" t="s">
        <v>36</v>
      </c>
      <c r="D7" s="79">
        <v>0.2</v>
      </c>
      <c r="F7" s="79" t="s">
        <v>423</v>
      </c>
      <c r="H7" s="79" t="s">
        <v>424</v>
      </c>
      <c r="J7" s="80" t="s">
        <v>425</v>
      </c>
      <c r="K7" s="80" t="s">
        <v>20</v>
      </c>
      <c r="M7" s="80" t="s">
        <v>131</v>
      </c>
      <c r="O7" s="80" t="s">
        <v>131</v>
      </c>
      <c r="Q7" s="80" t="s">
        <v>374</v>
      </c>
      <c r="S7" s="330">
        <v>0.08</v>
      </c>
      <c r="U7" s="80" t="s">
        <v>349</v>
      </c>
      <c r="Y7" s="80" t="s">
        <v>426</v>
      </c>
      <c r="Z7" s="180">
        <v>0.81</v>
      </c>
      <c r="AA7" s="180">
        <v>1.2</v>
      </c>
      <c r="AE7" s="80" t="s">
        <v>427</v>
      </c>
      <c r="AG7" s="80" t="s">
        <v>361</v>
      </c>
      <c r="AI7" s="80" t="s">
        <v>428</v>
      </c>
    </row>
    <row r="8" spans="2:35" x14ac:dyDescent="0.3">
      <c r="B8" s="80" t="s">
        <v>37</v>
      </c>
      <c r="D8" s="79">
        <v>0.3</v>
      </c>
      <c r="F8" s="79" t="s">
        <v>429</v>
      </c>
      <c r="H8" s="79" t="s">
        <v>430</v>
      </c>
      <c r="J8" s="80" t="s">
        <v>431</v>
      </c>
      <c r="K8" s="80" t="s">
        <v>21</v>
      </c>
      <c r="Q8" s="80" t="s">
        <v>375</v>
      </c>
      <c r="S8" s="330">
        <v>8.5000000000000006E-2</v>
      </c>
      <c r="Z8" s="180"/>
      <c r="AA8" s="180"/>
      <c r="AE8" s="80" t="s">
        <v>432</v>
      </c>
      <c r="AG8" s="80" t="s">
        <v>362</v>
      </c>
    </row>
    <row r="9" spans="2:35" x14ac:dyDescent="0.3">
      <c r="B9" s="80" t="s">
        <v>38</v>
      </c>
      <c r="D9" s="79">
        <v>0.4</v>
      </c>
      <c r="F9" s="80" t="s">
        <v>43</v>
      </c>
      <c r="H9" s="80"/>
      <c r="J9" s="80" t="s">
        <v>433</v>
      </c>
      <c r="K9" s="80" t="s">
        <v>22</v>
      </c>
      <c r="Q9" s="80" t="s">
        <v>376</v>
      </c>
      <c r="S9" s="330">
        <v>0.09</v>
      </c>
      <c r="Z9" s="80"/>
      <c r="AA9" s="80"/>
      <c r="AG9" s="80" t="s">
        <v>363</v>
      </c>
    </row>
    <row r="10" spans="2:35" x14ac:dyDescent="0.3">
      <c r="B10" s="80" t="s">
        <v>39</v>
      </c>
      <c r="D10" s="79">
        <v>0.5</v>
      </c>
      <c r="F10" s="80" t="s">
        <v>434</v>
      </c>
      <c r="H10" s="80"/>
      <c r="J10" s="80" t="s">
        <v>435</v>
      </c>
      <c r="K10" s="80" t="s">
        <v>23</v>
      </c>
      <c r="Q10" s="80" t="s">
        <v>131</v>
      </c>
      <c r="S10" s="330">
        <v>9.5000000000000001E-2</v>
      </c>
      <c r="AG10" s="80" t="s">
        <v>364</v>
      </c>
    </row>
    <row r="11" spans="2:35" x14ac:dyDescent="0.3">
      <c r="D11" s="79">
        <v>0.6</v>
      </c>
      <c r="S11" s="330">
        <v>0.1</v>
      </c>
      <c r="AG11" s="80" t="s">
        <v>365</v>
      </c>
    </row>
    <row r="12" spans="2:35" x14ac:dyDescent="0.3">
      <c r="D12" s="79">
        <v>0.7</v>
      </c>
      <c r="S12" s="80" t="s">
        <v>325</v>
      </c>
      <c r="AG12" s="80" t="s">
        <v>366</v>
      </c>
    </row>
    <row r="13" spans="2:35" x14ac:dyDescent="0.3">
      <c r="D13" s="79">
        <v>0.8</v>
      </c>
      <c r="AG13" s="80" t="s">
        <v>131</v>
      </c>
    </row>
    <row r="14" spans="2:35" x14ac:dyDescent="0.3">
      <c r="D14" s="79">
        <v>0.9</v>
      </c>
    </row>
    <row r="15" spans="2:35" x14ac:dyDescent="0.3">
      <c r="D15" s="79">
        <v>1</v>
      </c>
    </row>
    <row r="16" spans="2:35" x14ac:dyDescent="0.3">
      <c r="D16" s="79">
        <v>1.1000000000000001</v>
      </c>
    </row>
    <row r="17" spans="4:4" x14ac:dyDescent="0.3">
      <c r="D17" s="79">
        <v>1.2</v>
      </c>
    </row>
    <row r="18" spans="4:4" x14ac:dyDescent="0.3">
      <c r="D18" s="1" t="s">
        <v>43</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18" ma:contentTypeDescription="Create a new document." ma:contentTypeScope="" ma:versionID="3cb15376eec426134fa3273db6efeb79">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b41b846c24a760cf8c1183a6ddedbe11"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displayName="Image Tags_0" ma:hidden="true" ma:internalName="lcf76f155ced4ddcb4097134ff3c332f">
      <xsd:simpleType>
        <xsd:restriction base="dms:Note"/>
      </xsd:simple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B7AC66-2953-4CC7-BBB9-8449EAD8F7EB}">
  <ds:schemaRefs>
    <ds:schemaRef ds:uri="http://schemas.microsoft.com/office/2006/metadata/properties"/>
    <ds:schemaRef ds:uri="http://schemas.microsoft.com/office/infopath/2007/PartnerControls"/>
    <ds:schemaRef ds:uri="7d167e7b-b703-4d72-a433-43eae6792792"/>
    <ds:schemaRef ds:uri="ba46730b-c407-432f-8349-c152ee394015"/>
    <ds:schemaRef ds:uri="http://schemas.microsoft.com/sharepoint/v3"/>
  </ds:schemaRefs>
</ds:datastoreItem>
</file>

<file path=customXml/itemProps2.xml><?xml version="1.0" encoding="utf-8"?>
<ds:datastoreItem xmlns:ds="http://schemas.openxmlformats.org/officeDocument/2006/customXml" ds:itemID="{3E882EDD-3EDF-498D-ACCF-183DBE938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50DF90-7442-4632-8F9B-582DD0E7D1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Rent Roll</vt:lpstr>
      <vt:lpstr>Investment Summary</vt:lpstr>
      <vt:lpstr>FTHP &amp; GAHP</vt:lpstr>
      <vt:lpstr>SWHP</vt:lpstr>
      <vt:lpstr>Data</vt:lpstr>
      <vt:lpstr>List</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2025-02-18T17:01:40Z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d7171362-75ef-4e93-b1fc-61ebf0fbba15</vt:lpwstr>
  </property>
  <property fmtid="{D5CDD505-2E9C-101B-9397-08002B2CF9AE}" pid="4" name="MediaServiceImageTags">
    <vt:lpwstr/>
  </property>
</Properties>
</file>