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ODASFSWVP23.ds.detroitmi.gov\law$\dietjp\Documents\JPD\jacks\"/>
    </mc:Choice>
  </mc:AlternateContent>
  <bookViews>
    <workbookView xWindow="0" yWindow="0" windowWidth="28800" windowHeight="11835" activeTab="1"/>
  </bookViews>
  <sheets>
    <sheet name="FOIA Fees 01-01-2016" sheetId="1" r:id="rId1"/>
    <sheet name="FOIA Fee Estimate 01-01-2016" sheetId="5" r:id="rId2"/>
    <sheet name="MRAA Fees 2016" sheetId="2" r:id="rId3"/>
  </sheets>
  <definedNames>
    <definedName name="_xlnm.Print_Area" localSheetId="1">'FOIA Fee Estimate 01-01-2016'!$A$1:$F$74</definedName>
    <definedName name="_xlnm.Print_Area" localSheetId="0">'FOIA Fees 01-01-2016'!$A$2:$F$77</definedName>
    <definedName name="_xlnm.Print_Area" localSheetId="2">'MRAA Fees 2016'!$A$2:$F$14</definedName>
    <definedName name="_xlnm.Print_Titles" localSheetId="1">'FOIA Fee Estimate 01-01-2016'!$1:$1</definedName>
    <definedName name="_xlnm.Print_Titles" localSheetId="0">'FOIA Fees 01-01-2016'!$1:$2</definedName>
    <definedName name="_xlnm.Print_Titles" localSheetId="2">'MRAA Fees 2016'!$2:$2</definedName>
    <definedName name="Z_D23A040F_4798_437C_BF67_8A7E03794C82_.wvu.PrintArea" localSheetId="1" hidden="1">'FOIA Fee Estimate 01-01-2016'!$A$1:$F$73</definedName>
    <definedName name="Z_D23A040F_4798_437C_BF67_8A7E03794C82_.wvu.PrintArea" localSheetId="0" hidden="1">'FOIA Fees 01-01-2016'!$A$2:$F$77</definedName>
    <definedName name="Z_D23A040F_4798_437C_BF67_8A7E03794C82_.wvu.PrintArea" localSheetId="2" hidden="1">'MRAA Fees 2016'!$A$2:$F$13</definedName>
    <definedName name="Z_D23A040F_4798_437C_BF67_8A7E03794C82_.wvu.PrintTitles" localSheetId="1" hidden="1">'FOIA Fee Estimate 01-01-2016'!$1:$1</definedName>
    <definedName name="Z_D23A040F_4798_437C_BF67_8A7E03794C82_.wvu.PrintTitles" localSheetId="0" hidden="1">'FOIA Fees 01-01-2016'!$2:$2</definedName>
    <definedName name="Z_D23A040F_4798_437C_BF67_8A7E03794C82_.wvu.PrintTitles" localSheetId="2" hidden="1">'MRAA Fees 2016'!$2:$2</definedName>
  </definedNames>
  <calcPr calcId="152511"/>
  <customWorkbookViews>
    <customWorkbookView name="Timothy Beckett - Personal View" guid="{D23A040F-4798-437C-BF67-8A7E03794C8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8" i="1"/>
  <c r="D12" i="2" l="1"/>
  <c r="B68" i="5" l="1"/>
  <c r="B67" i="5"/>
  <c r="F64" i="5"/>
  <c r="B71" i="5"/>
  <c r="D9" i="2" l="1"/>
  <c r="D8" i="2"/>
  <c r="D7" i="2"/>
  <c r="D6" i="2"/>
  <c r="E76" i="1" l="1"/>
  <c r="E35" i="5" l="1"/>
  <c r="E63" i="5"/>
  <c r="E10" i="2"/>
  <c r="F70" i="5"/>
  <c r="F66" i="5"/>
  <c r="C61" i="5"/>
  <c r="E60" i="5"/>
  <c r="C60" i="5"/>
  <c r="E59" i="5"/>
  <c r="C59" i="5"/>
  <c r="E58" i="5"/>
  <c r="C58" i="5"/>
  <c r="E57" i="5"/>
  <c r="C57" i="5"/>
  <c r="E54" i="5"/>
  <c r="C54" i="5"/>
  <c r="E51" i="5"/>
  <c r="C51" i="5"/>
  <c r="E48" i="5"/>
  <c r="C48" i="5"/>
  <c r="C41" i="5"/>
  <c r="C40" i="5"/>
  <c r="D38" i="5"/>
  <c r="D40" i="5" s="1"/>
  <c r="C38" i="5"/>
  <c r="C33" i="5"/>
  <c r="D30" i="5"/>
  <c r="D31" i="5" s="1"/>
  <c r="E33" i="5" s="1"/>
  <c r="C30" i="5"/>
  <c r="C28" i="5"/>
  <c r="G26" i="5"/>
  <c r="C26" i="5"/>
  <c r="D25" i="5"/>
  <c r="D26" i="5" s="1"/>
  <c r="E28" i="5" s="1"/>
  <c r="F34" i="5" s="1"/>
  <c r="C25" i="5"/>
  <c r="G21" i="5"/>
  <c r="C21" i="5"/>
  <c r="H20" i="5"/>
  <c r="G20" i="5"/>
  <c r="G19" i="5"/>
  <c r="C19" i="5"/>
  <c r="H19" i="5"/>
  <c r="D18" i="5"/>
  <c r="D19" i="5" s="1"/>
  <c r="E21" i="5" s="1"/>
  <c r="F22" i="5" s="1"/>
  <c r="C18" i="5"/>
  <c r="C14" i="5"/>
  <c r="C12" i="5"/>
  <c r="D11" i="5"/>
  <c r="D12" i="5" s="1"/>
  <c r="E14" i="5" s="1"/>
  <c r="C11" i="5"/>
  <c r="C9" i="5"/>
  <c r="C7" i="5"/>
  <c r="D6" i="5"/>
  <c r="D7" i="5" s="1"/>
  <c r="E9" i="5" s="1"/>
  <c r="C6" i="5"/>
  <c r="E60" i="1"/>
  <c r="F55" i="5" l="1"/>
  <c r="E61" i="5"/>
  <c r="F62" i="5" s="1"/>
  <c r="F15" i="5"/>
  <c r="F35" i="5" s="1"/>
  <c r="F41" i="5" s="1"/>
  <c r="F42" i="5" s="1"/>
  <c r="H21" i="5"/>
  <c r="B77" i="1"/>
  <c r="B72" i="1"/>
  <c r="B70" i="1"/>
  <c r="F63" i="5" l="1"/>
  <c r="F44" i="5"/>
  <c r="F76" i="1"/>
  <c r="F67" i="5" l="1"/>
  <c r="E12" i="2"/>
  <c r="F68" i="5" l="1"/>
  <c r="F71" i="5" s="1"/>
  <c r="E9" i="2"/>
  <c r="E11" i="2" s="1"/>
  <c r="E13" i="2"/>
  <c r="D30" i="1" l="1"/>
  <c r="D31" i="1" s="1"/>
  <c r="D25" i="1"/>
  <c r="D26" i="1" s="1"/>
  <c r="D18" i="1"/>
  <c r="D19" i="1" s="1"/>
  <c r="D11" i="1"/>
  <c r="D12" i="1" s="1"/>
  <c r="F68" i="1"/>
  <c r="F65" i="1"/>
  <c r="B66" i="1"/>
  <c r="E63" i="1" l="1"/>
  <c r="C61" i="1"/>
  <c r="C60" i="1" l="1"/>
  <c r="G26" i="1"/>
  <c r="C59" i="1"/>
  <c r="C58" i="1"/>
  <c r="C57" i="1"/>
  <c r="E59" i="1"/>
  <c r="E58" i="1"/>
  <c r="E57" i="1"/>
  <c r="E21" i="1"/>
  <c r="F22" i="1" s="1"/>
  <c r="C18" i="1"/>
  <c r="G21" i="1"/>
  <c r="H20" i="1"/>
  <c r="G20" i="1"/>
  <c r="G19" i="1"/>
  <c r="H19" i="1"/>
  <c r="H21" i="1" l="1"/>
  <c r="E61" i="1"/>
  <c r="F62" i="1" s="1"/>
  <c r="C30" i="1" l="1"/>
  <c r="C25" i="1"/>
  <c r="C11" i="1"/>
  <c r="C6" i="1"/>
  <c r="E33" i="1"/>
  <c r="E28" i="1"/>
  <c r="E14" i="1"/>
  <c r="D6" i="1"/>
  <c r="D7" i="1" s="1"/>
  <c r="E9" i="1" s="1"/>
  <c r="D38" i="1"/>
  <c r="C38" i="1"/>
  <c r="E35" i="1"/>
  <c r="F34" i="1" l="1"/>
  <c r="F15" i="1"/>
  <c r="C12" i="1"/>
  <c r="C14" i="1"/>
  <c r="C41" i="1"/>
  <c r="D40" i="1"/>
  <c r="E54" i="1"/>
  <c r="E51" i="1"/>
  <c r="E48" i="1"/>
  <c r="F35" i="1" l="1"/>
  <c r="F41" i="1" s="1"/>
  <c r="C19" i="1"/>
  <c r="C21" i="1"/>
  <c r="C51" i="1"/>
  <c r="C9" i="1"/>
  <c r="C28" i="1"/>
  <c r="C31" i="1"/>
  <c r="C54" i="1"/>
  <c r="C33" i="1"/>
  <c r="C48" i="1"/>
  <c r="C26" i="1"/>
  <c r="C40" i="1"/>
  <c r="F55" i="1"/>
  <c r="F63" i="1" s="1"/>
  <c r="C7" i="1"/>
  <c r="F42" i="1" l="1"/>
  <c r="F70" i="1" l="1"/>
  <c r="F77" i="1"/>
  <c r="F72" i="1"/>
  <c r="F66" i="1"/>
  <c r="F44" i="1"/>
</calcChain>
</file>

<file path=xl/sharedStrings.xml><?xml version="1.0" encoding="utf-8"?>
<sst xmlns="http://schemas.openxmlformats.org/spreadsheetml/2006/main" count="172" uniqueCount="89">
  <si>
    <t>Component</t>
  </si>
  <si>
    <t>Line</t>
  </si>
  <si>
    <t>hourly wage of lowest paid employee capable of work</t>
  </si>
  <si>
    <t>number of hours, rounded down to .25 increment</t>
  </si>
  <si>
    <t>Actual cost of electronic media</t>
  </si>
  <si>
    <t>Actual cost of paper copies</t>
  </si>
  <si>
    <t>price for 8½ x 11 or 8½ x 14 sheets</t>
  </si>
  <si>
    <t>number of 8½ x 11 or 8½ x 14 sheets</t>
  </si>
  <si>
    <t>Labor for duplicating</t>
  </si>
  <si>
    <t>Number of hours, rounded down to next increment</t>
  </si>
  <si>
    <t>maximum reduction</t>
  </si>
  <si>
    <t>Alternate fees pursuant to statute</t>
  </si>
  <si>
    <t>number of pages subject to MRAA</t>
  </si>
  <si>
    <t>Labor for searching &amp; examining to fulfill request</t>
  </si>
  <si>
    <t>Labor for reviewing and redacting</t>
  </si>
  <si>
    <t>postage _____________________________</t>
  </si>
  <si>
    <t>Reduction for indigency or qualifying non-profit</t>
  </si>
  <si>
    <t>Affidavit/information provided: Y/N?</t>
  </si>
  <si>
    <t>Reduction in labor costs for late written response</t>
  </si>
  <si>
    <t>§ 4(1)(a)</t>
  </si>
  <si>
    <t>§ 4(1)(f)</t>
  </si>
  <si>
    <t>§ 4(1)(e)</t>
  </si>
  <si>
    <t>§ 4(1)(b)</t>
  </si>
  <si>
    <t xml:space="preserve">§ 4(1)(c) </t>
  </si>
  <si>
    <t>§ 4(1)(d)</t>
  </si>
  <si>
    <t>§ 4(2)</t>
  </si>
  <si>
    <t>§ 4(9)</t>
  </si>
  <si>
    <t>Reference</t>
  </si>
  <si>
    <t>Amount</t>
  </si>
  <si>
    <t>Subtotal</t>
  </si>
  <si>
    <t>Total</t>
  </si>
  <si>
    <t>Medical Records Access Act - MCL 333.26269</t>
  </si>
  <si>
    <t>number of business days late</t>
  </si>
  <si>
    <t>actual price per page</t>
  </si>
  <si>
    <t>color or other size copies, size: ___ x ____</t>
  </si>
  <si>
    <t>Fringe benefit multiplier rate, maximum 50%</t>
  </si>
  <si>
    <t>§ 9(1)(a)</t>
  </si>
  <si>
    <t>§ 9(1)(e)</t>
  </si>
  <si>
    <t>actual costs to retrieve records 7 years or older not accessible on site</t>
  </si>
  <si>
    <t>§ 9(1)(d)</t>
  </si>
  <si>
    <t>§ 9(6)</t>
  </si>
  <si>
    <t>Adjusted fees for 2015:</t>
  </si>
  <si>
    <t>Total - Labor for searching &amp; examining</t>
  </si>
  <si>
    <t>Total - Labor for reviewing and redacting</t>
  </si>
  <si>
    <t>Total - cost of electronic media</t>
  </si>
  <si>
    <t>Total - cost of paper copies</t>
  </si>
  <si>
    <t>Total - Labor for duplicating</t>
  </si>
  <si>
    <t>Variables</t>
  </si>
  <si>
    <t>Cost</t>
  </si>
  <si>
    <t>CD's</t>
  </si>
  <si>
    <t>Flash Drives</t>
  </si>
  <si>
    <t>Tapes</t>
  </si>
  <si>
    <t xml:space="preserve">Other: </t>
  </si>
  <si>
    <t>Color copies</t>
  </si>
  <si>
    <t>Non-standard size copies</t>
  </si>
  <si>
    <t>wage multiplier now 40.084% per EHH email 01/06/2016</t>
  </si>
  <si>
    <t>Dept.</t>
  </si>
  <si>
    <t>Amount Chargeable for Labor Costs, after applicable reduction:</t>
  </si>
  <si>
    <t>CREDIT - for deposits and other previous payments:</t>
  </si>
  <si>
    <t>Amount Chargeable for Labor Costs, after applicable reduction (copied from page 1):</t>
  </si>
  <si>
    <t>CONTINUED ON NEXT PAGE</t>
  </si>
  <si>
    <t>File Number:</t>
  </si>
  <si>
    <t>IF Records are emailed or viewed in person without copies:</t>
  </si>
  <si>
    <t>IF Records are picked up:</t>
  </si>
  <si>
    <t>IF records are mailed:</t>
  </si>
  <si>
    <t>Sum of deposits, previous payments, other credits:</t>
  </si>
  <si>
    <t>Total if viewed in person, picked up, or emailed:</t>
  </si>
  <si>
    <t>Total if mailed:</t>
  </si>
  <si>
    <r>
      <t>§ 9(1)(b)(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</si>
  <si>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§ 9(1)(b)(</t>
    </r>
    <r>
      <rPr>
        <i/>
        <sz val="11"/>
        <color theme="1"/>
        <rFont val="Calibri"/>
        <family val="2"/>
        <scheme val="minor"/>
      </rPr>
      <t>ii</t>
    </r>
    <r>
      <rPr>
        <sz val="11"/>
        <color theme="1"/>
        <rFont val="Calibri"/>
        <family val="2"/>
        <scheme val="minor"/>
      </rPr>
      <t>)</t>
    </r>
  </si>
  <si>
    <r>
      <t>§ 9(1)(b)(</t>
    </r>
    <r>
      <rPr>
        <i/>
        <sz val="11"/>
        <color theme="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</si>
  <si>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Actual postage</t>
    </r>
    <r>
      <rPr>
        <sz val="11"/>
        <color theme="1"/>
        <rFont val="Calibri"/>
        <family val="2"/>
        <scheme val="minor"/>
      </rPr>
      <t xml:space="preserve"> (enter an amount only if record is more than 8 pages, assuming 1 page transmittal letter)</t>
    </r>
  </si>
  <si>
    <t>Rev</t>
  </si>
  <si>
    <t>Estimated Total - Labor for searching &amp; examining</t>
  </si>
  <si>
    <t>Estimated Total - Labor for reviewing and redacting</t>
  </si>
  <si>
    <t>Estimated Total - Labor for duplicating</t>
  </si>
  <si>
    <t>Estimated Amount Chargeable for Labor Costs, after applicable reduction:</t>
  </si>
  <si>
    <t>Estimated Amount Chargeable for Labor Costs, after applicable reduction (copied from page 1):</t>
  </si>
  <si>
    <t>Actual cost of mailing</t>
  </si>
  <si>
    <t>initial fee @ $23.34</t>
  </si>
  <si>
    <t>cost for pages 1 -20, @ $1.17 per page</t>
  </si>
  <si>
    <t>cost for pages 21 - 50, @ $0.58 per page</t>
  </si>
  <si>
    <t>cost for pages 51+, @ $0.23 per page</t>
  </si>
  <si>
    <t>Estimated cost of paper copies</t>
  </si>
  <si>
    <t>Total - estimated cost of paper copies</t>
  </si>
  <si>
    <t>Estimated cost of electronic media</t>
  </si>
  <si>
    <t>Total - estimated cost of electronic media</t>
  </si>
  <si>
    <t>Estimated cost of mailing</t>
  </si>
  <si>
    <t>maximum wage = 6 times $9.25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</si>
</sst>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#,##0\ [$€-1];[Red]\-#,##0\ [$€-1]"/>
    <numFmt numFmtId="166" formatCode="0.0%"/>
    <numFmt numFmtId="167" formatCode="0.000%"/>
    <numFmt numFmtId="168" formatCode="&quot;$&quot;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8"/>
      <name val="Georgia"/>
      <family val="1"/>
    </font>
    <font>
      <b/>
      <i/>
      <sz val="10"/>
      <color theme="8"/>
      <name val="Georgia"/>
      <family val="1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8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</cellStyleXfs>
  <cellXfs count="2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quotePrefix="1"/>
    <xf numFmtId="0" fontId="2" fillId="0" borderId="3" xfId="0" applyFont="1" applyBorder="1" applyAlignment="1">
      <alignment horizontal="center"/>
    </xf>
    <xf numFmtId="0" fontId="2" fillId="0" borderId="3" xfId="2" applyFont="1" applyBorder="1" applyAlignment="1" applyProtection="1">
      <alignment horizontal="center"/>
    </xf>
    <xf numFmtId="0" fontId="2" fillId="0" borderId="3" xfId="2" applyFont="1" applyBorder="1" applyAlignment="1" applyProtection="1">
      <alignment horizontal="left"/>
    </xf>
    <xf numFmtId="0" fontId="2" fillId="0" borderId="3" xfId="2" applyFont="1" applyBorder="1" applyAlignment="1" applyProtection="1">
      <alignment wrapText="1"/>
    </xf>
    <xf numFmtId="164" fontId="2" fillId="0" borderId="3" xfId="2" applyNumberFormat="1" applyFont="1" applyBorder="1" applyAlignment="1" applyProtection="1">
      <alignment horizontal="center"/>
    </xf>
    <xf numFmtId="164" fontId="1" fillId="0" borderId="0" xfId="2" applyNumberFormat="1" applyFont="1"/>
    <xf numFmtId="0" fontId="1" fillId="0" borderId="0" xfId="2" applyFont="1" applyProtection="1"/>
    <xf numFmtId="0" fontId="1" fillId="0" borderId="0" xfId="2" applyFont="1"/>
    <xf numFmtId="0" fontId="1" fillId="0" borderId="0" xfId="2" applyFont="1" applyAlignment="1" applyProtection="1">
      <alignment horizontal="center" vertical="top"/>
    </xf>
    <xf numFmtId="0" fontId="2" fillId="0" borderId="0" xfId="2" applyFont="1" applyAlignment="1" applyProtection="1">
      <alignment horizontal="left"/>
    </xf>
    <xf numFmtId="164" fontId="1" fillId="0" borderId="0" xfId="2" applyNumberFormat="1" applyFont="1" applyProtection="1"/>
    <xf numFmtId="0" fontId="2" fillId="0" borderId="0" xfId="2" applyFont="1" applyAlignment="1" applyProtection="1">
      <alignment horizontal="left" indent="1"/>
    </xf>
    <xf numFmtId="0" fontId="1" fillId="0" borderId="0" xfId="2" applyFont="1" applyAlignment="1" applyProtection="1">
      <alignment horizontal="left" wrapText="1" indent="2"/>
    </xf>
    <xf numFmtId="164" fontId="1" fillId="0" borderId="0" xfId="2" applyNumberFormat="1" applyFont="1" applyAlignment="1" applyProtection="1">
      <alignment horizontal="right" indent="2"/>
    </xf>
    <xf numFmtId="164" fontId="1" fillId="0" borderId="2" xfId="2" applyNumberFormat="1" applyFont="1" applyBorder="1" applyAlignment="1" applyProtection="1">
      <alignment horizontal="right" indent="2"/>
    </xf>
    <xf numFmtId="164" fontId="1" fillId="0" borderId="2" xfId="2" applyNumberFormat="1" applyFont="1" applyBorder="1" applyProtection="1"/>
    <xf numFmtId="164" fontId="1" fillId="0" borderId="0" xfId="2" applyNumberFormat="1" applyFont="1" applyAlignment="1" applyProtection="1"/>
    <xf numFmtId="0" fontId="1" fillId="0" borderId="0" xfId="2" applyFont="1" applyAlignment="1" applyProtection="1"/>
    <xf numFmtId="0" fontId="1" fillId="0" borderId="0" xfId="2" applyFont="1" applyAlignment="1"/>
    <xf numFmtId="0" fontId="1" fillId="0" borderId="0" xfId="2" applyFont="1" applyAlignment="1" applyProtection="1">
      <alignment wrapText="1"/>
    </xf>
    <xf numFmtId="0" fontId="1" fillId="0" borderId="0" xfId="2" applyFont="1" applyAlignment="1" applyProtection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Font="1" applyAlignment="1">
      <alignment wrapText="1"/>
    </xf>
    <xf numFmtId="49" fontId="0" fillId="0" borderId="0" xfId="0" applyNumberFormat="1" applyFill="1"/>
    <xf numFmtId="0" fontId="7" fillId="4" borderId="0" xfId="0" applyFont="1" applyFill="1" applyAlignment="1">
      <alignment horizontal="left" wrapText="1" indent="1"/>
    </xf>
    <xf numFmtId="164" fontId="7" fillId="4" borderId="1" xfId="1" applyNumberFormat="1" applyFont="1" applyFill="1" applyAlignment="1" applyProtection="1">
      <alignment horizontal="right" indent="2"/>
      <protection locked="0"/>
    </xf>
    <xf numFmtId="164" fontId="7" fillId="4" borderId="2" xfId="0" applyNumberFormat="1" applyFont="1" applyFill="1" applyBorder="1" applyAlignment="1">
      <alignment horizontal="right" indent="2"/>
    </xf>
    <xf numFmtId="0" fontId="7" fillId="4" borderId="0" xfId="0" applyFont="1" applyFill="1" applyAlignment="1">
      <alignment wrapText="1"/>
    </xf>
    <xf numFmtId="164" fontId="7" fillId="4" borderId="0" xfId="0" applyNumberFormat="1" applyFont="1" applyFill="1"/>
    <xf numFmtId="166" fontId="7" fillId="4" borderId="0" xfId="0" applyNumberFormat="1" applyFont="1" applyFill="1" applyAlignment="1">
      <alignment horizontal="right" indent="2"/>
    </xf>
    <xf numFmtId="164" fontId="8" fillId="4" borderId="0" xfId="0" applyNumberFormat="1" applyFont="1" applyFill="1"/>
    <xf numFmtId="0" fontId="7" fillId="4" borderId="4" xfId="1" applyFont="1" applyFill="1" applyBorder="1" applyProtection="1">
      <protection locked="0"/>
    </xf>
    <xf numFmtId="0" fontId="2" fillId="0" borderId="3" xfId="0" applyFont="1" applyBorder="1"/>
    <xf numFmtId="164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left" indent="3"/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wrapText="1"/>
    </xf>
    <xf numFmtId="0" fontId="0" fillId="0" borderId="6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wrapText="1"/>
    </xf>
    <xf numFmtId="0" fontId="0" fillId="0" borderId="0" xfId="0" applyProtection="1"/>
    <xf numFmtId="164" fontId="3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 indent="1"/>
    </xf>
    <xf numFmtId="0" fontId="2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right" wrapText="1" indent="1"/>
    </xf>
    <xf numFmtId="0" fontId="0" fillId="0" borderId="0" xfId="0" applyAlignment="1" applyProtection="1">
      <alignment wrapText="1"/>
    </xf>
    <xf numFmtId="1" fontId="0" fillId="0" borderId="0" xfId="0" quotePrefix="1" applyNumberFormat="1" applyAlignment="1" applyProtection="1">
      <alignment horizontal="left" wrapText="1" indent="1"/>
    </xf>
    <xf numFmtId="165" fontId="2" fillId="0" borderId="0" xfId="0" applyNumberFormat="1" applyFont="1" applyAlignment="1" applyProtection="1">
      <alignment horizontal="left"/>
    </xf>
    <xf numFmtId="0" fontId="0" fillId="0" borderId="0" xfId="0" quotePrefix="1" applyProtection="1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0" xfId="1" applyFont="1" applyFill="1" applyBorder="1" applyAlignment="1" applyProtection="1">
      <alignment horizontal="left" wrapText="1" indent="1"/>
    </xf>
    <xf numFmtId="0" fontId="9" fillId="0" borderId="0" xfId="0" applyFont="1"/>
    <xf numFmtId="164" fontId="2" fillId="0" borderId="6" xfId="0" applyNumberFormat="1" applyFont="1" applyBorder="1" applyAlignment="1" applyProtection="1">
      <alignment horizontal="right"/>
    </xf>
    <xf numFmtId="164" fontId="3" fillId="0" borderId="6" xfId="0" applyNumberFormat="1" applyFont="1" applyBorder="1" applyAlignment="1" applyProtection="1">
      <alignment horizontal="right" indent="3"/>
    </xf>
    <xf numFmtId="164" fontId="3" fillId="0" borderId="0" xfId="0" applyNumberFormat="1" applyFont="1" applyAlignment="1" applyProtection="1">
      <alignment horizontal="right" indent="3"/>
    </xf>
    <xf numFmtId="166" fontId="0" fillId="0" borderId="0" xfId="0" applyNumberFormat="1" applyAlignment="1" applyProtection="1">
      <alignment horizontal="right" indent="2"/>
    </xf>
    <xf numFmtId="164" fontId="2" fillId="0" borderId="0" xfId="0" applyNumberFormat="1" applyFont="1" applyProtection="1"/>
    <xf numFmtId="164" fontId="2" fillId="0" borderId="2" xfId="0" applyNumberFormat="1" applyFont="1" applyBorder="1" applyAlignment="1" applyProtection="1">
      <alignment horizontal="right"/>
    </xf>
    <xf numFmtId="0" fontId="0" fillId="0" borderId="3" xfId="0" applyBorder="1" applyProtection="1"/>
    <xf numFmtId="164" fontId="2" fillId="0" borderId="3" xfId="0" applyNumberFormat="1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right" indent="3"/>
    </xf>
    <xf numFmtId="9" fontId="0" fillId="0" borderId="0" xfId="0" applyNumberFormat="1" applyAlignment="1" applyProtection="1">
      <alignment horizontal="left" indent="2"/>
    </xf>
    <xf numFmtId="9" fontId="0" fillId="0" borderId="0" xfId="0" applyNumberFormat="1" applyAlignment="1" applyProtection="1">
      <alignment horizontal="right" indent="2"/>
    </xf>
    <xf numFmtId="0" fontId="3" fillId="0" borderId="11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right" wrapText="1"/>
    </xf>
    <xf numFmtId="0" fontId="3" fillId="0" borderId="11" xfId="0" applyFont="1" applyFill="1" applyBorder="1" applyProtection="1"/>
    <xf numFmtId="0" fontId="3" fillId="0" borderId="11" xfId="0" applyFont="1" applyFill="1" applyBorder="1" applyAlignment="1" applyProtection="1">
      <alignment horizontal="right"/>
    </xf>
    <xf numFmtId="164" fontId="0" fillId="6" borderId="4" xfId="1" applyNumberFormat="1" applyFont="1" applyFill="1" applyBorder="1" applyAlignment="1" applyProtection="1">
      <alignment horizontal="right" indent="2"/>
    </xf>
    <xf numFmtId="0" fontId="0" fillId="0" borderId="0" xfId="0" applyFill="1" applyProtection="1"/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wrapText="1"/>
    </xf>
    <xf numFmtId="0" fontId="0" fillId="0" borderId="5" xfId="0" applyBorder="1" applyProtection="1"/>
    <xf numFmtId="164" fontId="2" fillId="0" borderId="5" xfId="0" applyNumberFormat="1" applyFont="1" applyBorder="1" applyAlignment="1" applyProtection="1">
      <alignment horizontal="right"/>
    </xf>
    <xf numFmtId="164" fontId="3" fillId="0" borderId="5" xfId="0" applyNumberFormat="1" applyFont="1" applyBorder="1" applyProtection="1"/>
    <xf numFmtId="0" fontId="2" fillId="0" borderId="10" xfId="0" applyFont="1" applyBorder="1" applyAlignment="1" applyProtection="1">
      <alignment horizontal="left"/>
    </xf>
    <xf numFmtId="0" fontId="0" fillId="0" borderId="10" xfId="0" applyBorder="1" applyAlignment="1" applyProtection="1">
      <alignment wrapText="1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right" wrapText="1"/>
    </xf>
    <xf numFmtId="0" fontId="9" fillId="0" borderId="6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indent="3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8" fontId="4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right" wrapText="1"/>
    </xf>
    <xf numFmtId="0" fontId="3" fillId="0" borderId="12" xfId="0" applyFont="1" applyFill="1" applyBorder="1" applyProtection="1"/>
    <xf numFmtId="0" fontId="3" fillId="0" borderId="12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0" fillId="7" borderId="4" xfId="1" applyFont="1" applyFill="1" applyBorder="1" applyProtection="1">
      <protection locked="0"/>
    </xf>
    <xf numFmtId="0" fontId="0" fillId="0" borderId="6" xfId="0" applyFill="1" applyBorder="1" applyAlignment="1" applyProtection="1">
      <alignment horizontal="center" vertical="top"/>
    </xf>
    <xf numFmtId="0" fontId="0" fillId="0" borderId="6" xfId="0" applyFill="1" applyBorder="1" applyProtection="1"/>
    <xf numFmtId="0" fontId="0" fillId="7" borderId="1" xfId="1" applyFont="1" applyFill="1" applyProtection="1">
      <protection locked="0"/>
    </xf>
    <xf numFmtId="0" fontId="0" fillId="7" borderId="1" xfId="1" applyFont="1" applyFill="1" applyAlignment="1" applyProtection="1">
      <alignment horizontal="right" wrapText="1" indent="2"/>
      <protection locked="0"/>
    </xf>
    <xf numFmtId="164" fontId="0" fillId="7" borderId="4" xfId="1" applyNumberFormat="1" applyFont="1" applyFill="1" applyBorder="1" applyAlignment="1" applyProtection="1">
      <alignment horizontal="right" indent="2"/>
      <protection locked="0"/>
    </xf>
    <xf numFmtId="0" fontId="0" fillId="7" borderId="1" xfId="1" applyFont="1" applyFill="1" applyAlignment="1" applyProtection="1">
      <alignment horizontal="left" wrapText="1" indent="1"/>
      <protection locked="0"/>
    </xf>
    <xf numFmtId="0" fontId="0" fillId="7" borderId="1" xfId="1" applyNumberFormat="1" applyFont="1" applyFill="1" applyAlignment="1" applyProtection="1">
      <alignment horizontal="center"/>
      <protection locked="0"/>
    </xf>
    <xf numFmtId="0" fontId="0" fillId="7" borderId="4" xfId="1" applyNumberFormat="1" applyFont="1" applyFill="1" applyBorder="1" applyAlignment="1" applyProtection="1">
      <alignment horizontal="center"/>
      <protection locked="0"/>
    </xf>
    <xf numFmtId="0" fontId="0" fillId="7" borderId="9" xfId="1" applyFont="1" applyFill="1" applyBorder="1" applyAlignment="1" applyProtection="1">
      <alignment horizontal="center"/>
      <protection locked="0"/>
    </xf>
    <xf numFmtId="164" fontId="0" fillId="7" borderId="1" xfId="1" applyNumberFormat="1" applyFont="1" applyFill="1" applyBorder="1" applyAlignment="1" applyProtection="1">
      <alignment horizontal="right" indent="1"/>
      <protection locked="0"/>
    </xf>
    <xf numFmtId="8" fontId="2" fillId="0" borderId="0" xfId="0" applyNumberFormat="1" applyFont="1" applyAlignment="1" applyProtection="1">
      <alignment horizontal="right" indent="2"/>
    </xf>
    <xf numFmtId="0" fontId="14" fillId="3" borderId="6" xfId="0" applyFont="1" applyFill="1" applyBorder="1" applyAlignment="1" applyProtection="1">
      <alignment horizontal="center" vertical="center" wrapText="1"/>
    </xf>
    <xf numFmtId="8" fontId="14" fillId="3" borderId="6" xfId="0" applyNumberFormat="1" applyFont="1" applyFill="1" applyBorder="1" applyAlignment="1" applyProtection="1">
      <alignment horizontal="right" vertical="center" wrapText="1"/>
    </xf>
    <xf numFmtId="8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64" fontId="3" fillId="0" borderId="3" xfId="0" applyNumberFormat="1" applyFont="1" applyBorder="1" applyAlignment="1" applyProtection="1">
      <alignment horizontal="right" indent="2"/>
    </xf>
    <xf numFmtId="164" fontId="0" fillId="7" borderId="8" xfId="1" applyNumberFormat="1" applyFont="1" applyFill="1" applyBorder="1" applyAlignment="1" applyProtection="1">
      <alignment horizontal="right"/>
      <protection locked="0"/>
    </xf>
    <xf numFmtId="164" fontId="3" fillId="8" borderId="6" xfId="0" applyNumberFormat="1" applyFont="1" applyFill="1" applyBorder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wrapText="1"/>
    </xf>
    <xf numFmtId="0" fontId="0" fillId="6" borderId="0" xfId="0" applyFill="1" applyProtection="1"/>
    <xf numFmtId="0" fontId="2" fillId="6" borderId="0" xfId="0" applyFont="1" applyFill="1" applyAlignment="1" applyProtection="1">
      <alignment horizontal="right"/>
    </xf>
    <xf numFmtId="0" fontId="2" fillId="7" borderId="15" xfId="0" applyFont="1" applyFill="1" applyBorder="1" applyAlignment="1" applyProtection="1">
      <alignment horizontal="left" wrapText="1" indent="1"/>
      <protection locked="0"/>
    </xf>
    <xf numFmtId="167" fontId="2" fillId="0" borderId="7" xfId="1" applyNumberFormat="1" applyFont="1" applyFill="1" applyBorder="1" applyProtection="1"/>
    <xf numFmtId="168" fontId="11" fillId="9" borderId="11" xfId="0" applyNumberFormat="1" applyFont="1" applyFill="1" applyBorder="1" applyAlignment="1" applyProtection="1">
      <alignment horizontal="right"/>
    </xf>
    <xf numFmtId="168" fontId="10" fillId="9" borderId="6" xfId="0" applyNumberFormat="1" applyFont="1" applyFill="1" applyBorder="1" applyAlignment="1" applyProtection="1">
      <alignment horizontal="right"/>
    </xf>
    <xf numFmtId="164" fontId="10" fillId="9" borderId="12" xfId="0" applyNumberFormat="1" applyFont="1" applyFill="1" applyBorder="1" applyProtection="1"/>
    <xf numFmtId="164" fontId="10" fillId="9" borderId="11" xfId="0" applyNumberFormat="1" applyFont="1" applyFill="1" applyBorder="1" applyProtection="1"/>
    <xf numFmtId="8" fontId="10" fillId="9" borderId="0" xfId="0" applyNumberFormat="1" applyFont="1" applyFill="1" applyAlignment="1" applyProtection="1">
      <alignment horizontal="right"/>
    </xf>
    <xf numFmtId="8" fontId="3" fillId="9" borderId="3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right" wrapText="1"/>
    </xf>
    <xf numFmtId="0" fontId="9" fillId="0" borderId="3" xfId="0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164" fontId="3" fillId="9" borderId="3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 vertical="top"/>
    </xf>
    <xf numFmtId="0" fontId="0" fillId="7" borderId="9" xfId="1" applyFont="1" applyFill="1" applyBorder="1" applyAlignment="1" applyProtection="1">
      <alignment horizontal="left" wrapText="1" indent="1"/>
      <protection locked="0"/>
    </xf>
    <xf numFmtId="164" fontId="0" fillId="7" borderId="9" xfId="1" applyNumberFormat="1" applyFont="1" applyFill="1" applyBorder="1" applyAlignment="1" applyProtection="1">
      <alignment horizontal="right" indent="2"/>
      <protection locked="0"/>
    </xf>
    <xf numFmtId="164" fontId="2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14" fillId="3" borderId="3" xfId="0" applyFont="1" applyFill="1" applyBorder="1" applyAlignment="1" applyProtection="1">
      <alignment horizontal="center" vertical="center" wrapText="1"/>
    </xf>
    <xf numFmtId="8" fontId="14" fillId="3" borderId="3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center" vertical="top"/>
    </xf>
    <xf numFmtId="0" fontId="2" fillId="0" borderId="5" xfId="0" applyFont="1" applyBorder="1" applyAlignment="1">
      <alignment horizontal="left"/>
    </xf>
    <xf numFmtId="0" fontId="12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164" fontId="2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 indent="3"/>
    </xf>
    <xf numFmtId="8" fontId="3" fillId="0" borderId="5" xfId="0" applyNumberFormat="1" applyFont="1" applyFill="1" applyBorder="1" applyAlignment="1" applyProtection="1">
      <alignment horizontal="right"/>
    </xf>
    <xf numFmtId="3" fontId="0" fillId="7" borderId="1" xfId="1" applyNumberFormat="1" applyFont="1" applyFill="1" applyAlignment="1" applyProtection="1">
      <alignment horizontal="right" wrapText="1" indent="2"/>
      <protection locked="0"/>
    </xf>
    <xf numFmtId="164" fontId="1" fillId="0" borderId="18" xfId="2" applyNumberFormat="1" applyFont="1" applyBorder="1" applyProtection="1"/>
    <xf numFmtId="164" fontId="1" fillId="0" borderId="19" xfId="2" applyNumberFormat="1" applyFont="1" applyBorder="1" applyProtection="1"/>
    <xf numFmtId="0" fontId="6" fillId="7" borderId="1" xfId="3" applyFont="1" applyFill="1" applyAlignment="1" applyProtection="1">
      <alignment horizontal="right" indent="2"/>
      <protection locked="0"/>
    </xf>
    <xf numFmtId="0" fontId="17" fillId="0" borderId="3" xfId="2" applyFont="1" applyBorder="1" applyAlignment="1" applyProtection="1">
      <alignment horizontal="right" wrapText="1"/>
    </xf>
    <xf numFmtId="164" fontId="17" fillId="0" borderId="3" xfId="0" applyNumberFormat="1" applyFont="1" applyBorder="1" applyProtection="1"/>
    <xf numFmtId="0" fontId="17" fillId="0" borderId="3" xfId="2" applyFont="1" applyBorder="1" applyAlignment="1" applyProtection="1">
      <alignment horizontal="right"/>
    </xf>
    <xf numFmtId="164" fontId="6" fillId="7" borderId="20" xfId="3" applyNumberFormat="1" applyFont="1" applyFill="1" applyBorder="1" applyAlignment="1" applyProtection="1">
      <alignment horizontal="right" indent="2"/>
      <protection locked="0"/>
    </xf>
    <xf numFmtId="0" fontId="0" fillId="0" borderId="0" xfId="0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1" fillId="0" borderId="2" xfId="2" applyFont="1" applyBorder="1" applyAlignment="1" applyProtection="1">
      <alignment horizontal="left" vertical="center"/>
    </xf>
    <xf numFmtId="0" fontId="0" fillId="0" borderId="0" xfId="2" applyFont="1" applyAlignment="1" applyProtection="1">
      <alignment horizontal="left"/>
    </xf>
    <xf numFmtId="0" fontId="1" fillId="0" borderId="2" xfId="2" applyFont="1" applyBorder="1" applyAlignment="1" applyProtection="1">
      <alignment horizontal="left" wrapText="1" indent="2"/>
    </xf>
    <xf numFmtId="0" fontId="0" fillId="0" borderId="2" xfId="2" applyFont="1" applyBorder="1" applyAlignment="1" applyProtection="1">
      <alignment horizontal="left" wrapText="1" indent="2"/>
    </xf>
    <xf numFmtId="164" fontId="6" fillId="6" borderId="20" xfId="3" applyNumberFormat="1" applyFont="1" applyFill="1" applyBorder="1" applyAlignment="1" applyProtection="1">
      <alignment horizontal="right" indent="2"/>
      <protection locked="0"/>
    </xf>
    <xf numFmtId="8" fontId="14" fillId="3" borderId="2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right"/>
    </xf>
    <xf numFmtId="0" fontId="9" fillId="0" borderId="3" xfId="0" applyFont="1" applyBorder="1" applyProtection="1"/>
    <xf numFmtId="164" fontId="3" fillId="0" borderId="3" xfId="0" applyNumberFormat="1" applyFont="1" applyBorder="1" applyAlignment="1" applyProtection="1">
      <alignment horizontal="right"/>
    </xf>
    <xf numFmtId="0" fontId="1" fillId="0" borderId="0" xfId="2" applyFont="1" applyAlignment="1" applyProtection="1">
      <alignment horizontal="center" vertical="center"/>
    </xf>
    <xf numFmtId="0" fontId="1" fillId="0" borderId="2" xfId="2" applyFont="1" applyBorder="1" applyAlignment="1" applyProtection="1">
      <alignment horizontal="center" vertical="center"/>
    </xf>
    <xf numFmtId="0" fontId="0" fillId="0" borderId="0" xfId="2" applyFont="1" applyAlignment="1" applyProtection="1">
      <alignment horizontal="left" wrapText="1" indent="2"/>
    </xf>
    <xf numFmtId="0" fontId="17" fillId="3" borderId="21" xfId="0" applyFont="1" applyFill="1" applyBorder="1" applyAlignment="1" applyProtection="1">
      <alignment horizontal="center" vertical="center" wrapText="1"/>
    </xf>
    <xf numFmtId="8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Protection="1">
      <protection locked="0"/>
    </xf>
    <xf numFmtId="168" fontId="11" fillId="0" borderId="11" xfId="0" applyNumberFormat="1" applyFont="1" applyFill="1" applyBorder="1" applyAlignment="1" applyProtection="1">
      <alignment horizontal="right"/>
    </xf>
    <xf numFmtId="8" fontId="3" fillId="0" borderId="3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Fill="1" applyAlignment="1">
      <alignment vertical="center"/>
    </xf>
    <xf numFmtId="8" fontId="10" fillId="9" borderId="0" xfId="0" applyNumberFormat="1" applyFont="1" applyFill="1" applyAlignment="1" applyProtection="1">
      <alignment horizontal="right" vertical="center"/>
    </xf>
    <xf numFmtId="0" fontId="0" fillId="7" borderId="9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9" fillId="0" borderId="0" xfId="0" applyNumberFormat="1" applyFont="1"/>
    <xf numFmtId="0" fontId="0" fillId="0" borderId="0" xfId="0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right" wrapText="1"/>
    </xf>
    <xf numFmtId="0" fontId="9" fillId="0" borderId="5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168" fontId="10" fillId="9" borderId="5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0" fontId="0" fillId="0" borderId="0" xfId="0" applyBorder="1" applyProtection="1"/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164" fontId="0" fillId="7" borderId="7" xfId="1" applyNumberFormat="1" applyFont="1" applyFill="1" applyBorder="1" applyAlignment="1" applyProtection="1">
      <alignment horizontal="right" indent="1"/>
      <protection locked="0"/>
    </xf>
    <xf numFmtId="164" fontId="2" fillId="0" borderId="6" xfId="0" applyNumberFormat="1" applyFont="1" applyBorder="1" applyAlignment="1" applyProtection="1">
      <alignment horizontal="right" vertical="center"/>
    </xf>
    <xf numFmtId="8" fontId="10" fillId="9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 applyProtection="1">
      <alignment horizontal="left" vertical="center" wrapText="1"/>
    </xf>
    <xf numFmtId="0" fontId="2" fillId="7" borderId="13" xfId="0" applyFont="1" applyFill="1" applyBorder="1" applyAlignment="1" applyProtection="1">
      <alignment horizontal="left" wrapText="1"/>
      <protection locked="0"/>
    </xf>
    <xf numFmtId="0" fontId="2" fillId="7" borderId="14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right" vertical="top" wrapText="1" indent="1"/>
    </xf>
    <xf numFmtId="0" fontId="0" fillId="0" borderId="11" xfId="0" applyFill="1" applyBorder="1" applyAlignment="1" applyProtection="1">
      <alignment horizontal="right" wrapText="1" indent="1"/>
    </xf>
    <xf numFmtId="0" fontId="17" fillId="3" borderId="3" xfId="0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left" wrapText="1"/>
    </xf>
    <xf numFmtId="0" fontId="0" fillId="0" borderId="11" xfId="0" applyBorder="1" applyAlignment="1"/>
    <xf numFmtId="0" fontId="3" fillId="0" borderId="11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right" vertical="center" wrapText="1"/>
    </xf>
  </cellXfs>
  <cellStyles count="4">
    <cellStyle name="Normal" xfId="0" builtinId="0"/>
    <cellStyle name="Normal 2" xfId="2"/>
    <cellStyle name="Note" xfId="1" builtinId="10"/>
    <cellStyle name="Note 2" xfId="3"/>
  </cellStyles>
  <dxfs count="42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0000FF"/>
      <color rgb="FFFFFF87"/>
      <color rgb="FFFFFF9B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18</xdr:row>
      <xdr:rowOff>9526</xdr:rowOff>
    </xdr:from>
    <xdr:to>
      <xdr:col>5</xdr:col>
      <xdr:colOff>1119</xdr:colOff>
      <xdr:row>29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48126"/>
          <a:ext cx="6466213" cy="2209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381001</xdr:colOff>
      <xdr:row>29</xdr:row>
      <xdr:rowOff>133350</xdr:rowOff>
    </xdr:from>
    <xdr:to>
      <xdr:col>4</xdr:col>
      <xdr:colOff>918359</xdr:colOff>
      <xdr:row>39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6267450"/>
          <a:ext cx="6442858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7"/>
  <sheetViews>
    <sheetView view="pageLayout" zoomScaleNormal="100" zoomScaleSheetLayoutView="100" workbookViewId="0">
      <selection activeCell="H19" sqref="H19"/>
    </sheetView>
  </sheetViews>
  <sheetFormatPr defaultRowHeight="15.75" x14ac:dyDescent="0.25"/>
  <cols>
    <col min="1" max="1" width="8" style="4" customWidth="1"/>
    <col min="2" max="2" width="10.140625" style="3" customWidth="1"/>
    <col min="3" max="3" width="50.85546875" style="1" customWidth="1"/>
    <col min="4" max="4" width="9.5703125" customWidth="1"/>
    <col min="5" max="5" width="8.85546875" style="65" customWidth="1"/>
    <col min="6" max="6" width="14.42578125" style="44" customWidth="1"/>
    <col min="7" max="7" width="51.5703125" customWidth="1"/>
    <col min="8" max="8" width="11.5703125" bestFit="1" customWidth="1"/>
  </cols>
  <sheetData>
    <row r="1" spans="1:10" ht="15" x14ac:dyDescent="0.25">
      <c r="A1" s="132"/>
      <c r="B1" s="133"/>
      <c r="C1" s="134"/>
      <c r="D1" s="135"/>
      <c r="E1" s="136" t="s">
        <v>61</v>
      </c>
      <c r="F1" s="137"/>
    </row>
    <row r="2" spans="1:10" ht="16.5" thickBot="1" x14ac:dyDescent="0.3">
      <c r="A2" s="45" t="s">
        <v>1</v>
      </c>
      <c r="B2" s="46" t="s">
        <v>27</v>
      </c>
      <c r="C2" s="47" t="s">
        <v>0</v>
      </c>
      <c r="D2" s="45" t="s">
        <v>28</v>
      </c>
      <c r="E2" s="66" t="s">
        <v>29</v>
      </c>
      <c r="F2" s="67" t="s">
        <v>30</v>
      </c>
      <c r="G2" s="40" t="s">
        <v>47</v>
      </c>
      <c r="H2" s="7" t="s">
        <v>48</v>
      </c>
    </row>
    <row r="3" spans="1:10" ht="16.5" thickBot="1" x14ac:dyDescent="0.3">
      <c r="A3" s="48">
        <v>1</v>
      </c>
      <c r="B3" s="49" t="s">
        <v>25</v>
      </c>
      <c r="C3" s="50" t="s">
        <v>35</v>
      </c>
      <c r="D3" s="138">
        <v>0.37490000000000001</v>
      </c>
      <c r="E3" s="71"/>
      <c r="F3" s="72"/>
      <c r="G3" t="s">
        <v>49</v>
      </c>
      <c r="H3" s="41">
        <v>1</v>
      </c>
    </row>
    <row r="4" spans="1:10" ht="15.75" customHeight="1" x14ac:dyDescent="0.25">
      <c r="A4" s="51">
        <v>2</v>
      </c>
      <c r="B4" s="88" t="s">
        <v>19</v>
      </c>
      <c r="C4" s="52" t="s">
        <v>13</v>
      </c>
      <c r="D4" s="53"/>
      <c r="E4" s="68"/>
      <c r="F4" s="73"/>
      <c r="G4" t="s">
        <v>50</v>
      </c>
      <c r="H4" s="41"/>
    </row>
    <row r="5" spans="1:10" ht="15.75" customHeight="1" x14ac:dyDescent="0.25">
      <c r="A5" s="51">
        <v>3</v>
      </c>
      <c r="B5" s="222"/>
      <c r="C5" s="56" t="s">
        <v>2</v>
      </c>
      <c r="D5" s="123"/>
      <c r="E5" s="68"/>
      <c r="F5" s="73"/>
      <c r="G5" t="s">
        <v>51</v>
      </c>
      <c r="H5" s="41"/>
    </row>
    <row r="6" spans="1:10" ht="15.75" customHeight="1" x14ac:dyDescent="0.25">
      <c r="A6" s="51">
        <v>4</v>
      </c>
      <c r="B6" s="223"/>
      <c r="C6" s="56" t="str">
        <f>"fringe benefit multiplier @ "&amp;(100*$D$3)&amp;"%"</f>
        <v>fringe benefit multiplier @ 37.49%</v>
      </c>
      <c r="D6" s="74">
        <f>1+$D$3</f>
        <v>1.3749</v>
      </c>
      <c r="E6" s="68"/>
      <c r="F6" s="73"/>
      <c r="G6" s="31" t="s">
        <v>52</v>
      </c>
    </row>
    <row r="7" spans="1:10" ht="15.75" customHeight="1" x14ac:dyDescent="0.25">
      <c r="A7" s="51">
        <v>5</v>
      </c>
      <c r="B7" s="55" t="s">
        <v>56</v>
      </c>
      <c r="C7" s="56" t="str">
        <f>"modified hourly wage = line " &amp; A5 &amp; "* line " &amp; A6</f>
        <v>modified hourly wage = line 3* line 4</v>
      </c>
      <c r="D7" s="75">
        <f>ROUNDDOWN((D6*D5),2)</f>
        <v>0</v>
      </c>
      <c r="E7" s="68"/>
      <c r="F7" s="73"/>
      <c r="G7" s="42"/>
      <c r="H7" s="41"/>
    </row>
    <row r="8" spans="1:10" ht="15.75" customHeight="1" x14ac:dyDescent="0.25">
      <c r="A8" s="51">
        <v>6</v>
      </c>
      <c r="B8" s="55"/>
      <c r="C8" s="56" t="s">
        <v>3</v>
      </c>
      <c r="D8" s="113"/>
      <c r="E8" s="76"/>
      <c r="F8" s="73"/>
      <c r="G8" s="42"/>
      <c r="H8" s="41"/>
    </row>
    <row r="9" spans="1:10" ht="15.75" customHeight="1" x14ac:dyDescent="0.25">
      <c r="A9" s="51">
        <v>7</v>
      </c>
      <c r="B9" s="107"/>
      <c r="C9" s="58" t="str">
        <f>+"line "&amp;A7&amp;" multiplied by line " &amp; A8</f>
        <v>line 5 multiplied by line 6</v>
      </c>
      <c r="D9" s="53"/>
      <c r="E9" s="68">
        <f>ROUNDDOWN((D7*D8),2)</f>
        <v>0</v>
      </c>
      <c r="F9" s="73"/>
      <c r="G9" s="42"/>
      <c r="H9" s="41"/>
    </row>
    <row r="10" spans="1:10" ht="15.75" customHeight="1" x14ac:dyDescent="0.25">
      <c r="A10" s="51">
        <v>8</v>
      </c>
      <c r="B10" s="222"/>
      <c r="C10" s="56" t="s">
        <v>2</v>
      </c>
      <c r="D10" s="123"/>
      <c r="E10" s="68"/>
      <c r="F10" s="73"/>
      <c r="G10" s="42"/>
      <c r="H10" s="41"/>
    </row>
    <row r="11" spans="1:10" ht="15.75" customHeight="1" x14ac:dyDescent="0.25">
      <c r="A11" s="51">
        <v>9</v>
      </c>
      <c r="B11" s="223"/>
      <c r="C11" s="56" t="str">
        <f>"fringe benefit multiplier @ "&amp;(100*$D$3)&amp;"%"</f>
        <v>fringe benefit multiplier @ 37.49%</v>
      </c>
      <c r="D11" s="74">
        <f>1+$D$3</f>
        <v>1.3749</v>
      </c>
      <c r="E11" s="68"/>
      <c r="F11" s="73"/>
      <c r="G11" t="s">
        <v>53</v>
      </c>
      <c r="H11" s="41"/>
    </row>
    <row r="12" spans="1:10" ht="15.75" customHeight="1" x14ac:dyDescent="0.25">
      <c r="A12" s="51">
        <v>10</v>
      </c>
      <c r="B12" s="55" t="s">
        <v>56</v>
      </c>
      <c r="C12" s="56" t="str">
        <f>"modified hourly wage = line " &amp; A10 &amp; "* line " &amp; A11</f>
        <v>modified hourly wage = line 8* line 9</v>
      </c>
      <c r="D12" s="75">
        <f>ROUNDDOWN((D11*D10),2)</f>
        <v>0</v>
      </c>
      <c r="E12" s="68"/>
      <c r="F12" s="73"/>
      <c r="G12" t="s">
        <v>54</v>
      </c>
      <c r="H12" s="41"/>
    </row>
    <row r="13" spans="1:10" ht="15.75" customHeight="1" x14ac:dyDescent="0.25">
      <c r="A13" s="51">
        <v>11</v>
      </c>
      <c r="B13" s="55"/>
      <c r="C13" s="56" t="s">
        <v>3</v>
      </c>
      <c r="D13" s="113"/>
      <c r="E13" s="76"/>
      <c r="F13" s="73"/>
      <c r="H13" s="41"/>
    </row>
    <row r="14" spans="1:10" ht="15.75" customHeight="1" x14ac:dyDescent="0.25">
      <c r="A14" s="51">
        <v>12</v>
      </c>
      <c r="B14" s="57"/>
      <c r="C14" s="58" t="str">
        <f>+"line "&amp;A12&amp;" multiplied by line " &amp; A13</f>
        <v>line 10 multiplied by line 11</v>
      </c>
      <c r="D14" s="53"/>
      <c r="E14" s="68">
        <f>ROUNDDOWN((D12*D13),2)</f>
        <v>0</v>
      </c>
      <c r="F14" s="73"/>
      <c r="H14" s="41"/>
    </row>
    <row r="15" spans="1:10" ht="16.5" thickBot="1" x14ac:dyDescent="0.3">
      <c r="A15" s="59">
        <v>13</v>
      </c>
      <c r="B15" s="46"/>
      <c r="C15" s="60" t="s">
        <v>42</v>
      </c>
      <c r="D15" s="77"/>
      <c r="E15" s="78"/>
      <c r="F15" s="129">
        <f>ROUNDDOWN((SUBTOTAL(9,E4:E14)),2)</f>
        <v>0</v>
      </c>
      <c r="H15" s="41"/>
    </row>
    <row r="16" spans="1:10" x14ac:dyDescent="0.25">
      <c r="A16" s="51">
        <v>14</v>
      </c>
      <c r="B16" s="55" t="s">
        <v>22</v>
      </c>
      <c r="C16" s="52" t="s">
        <v>14</v>
      </c>
      <c r="D16" s="53"/>
      <c r="E16" s="68"/>
      <c r="F16" s="73"/>
      <c r="H16" s="2"/>
      <c r="J16" s="6"/>
    </row>
    <row r="17" spans="1:8" ht="15.75" customHeight="1" x14ac:dyDescent="0.25">
      <c r="A17" s="51">
        <v>15</v>
      </c>
      <c r="B17" s="55"/>
      <c r="C17" s="56" t="s">
        <v>2</v>
      </c>
      <c r="D17" s="123"/>
      <c r="E17" s="68"/>
      <c r="F17" s="73"/>
      <c r="G17" s="32" t="s">
        <v>2</v>
      </c>
      <c r="H17" s="33"/>
    </row>
    <row r="18" spans="1:8" x14ac:dyDescent="0.25">
      <c r="A18" s="51">
        <v>16</v>
      </c>
      <c r="B18" s="55"/>
      <c r="C18" s="56" t="str">
        <f>"fringe benefit multiplier @ "&amp;(100*$D$3)&amp;"%"</f>
        <v>fringe benefit multiplier @ 37.49%</v>
      </c>
      <c r="D18" s="74">
        <f>1+$D$3</f>
        <v>1.3749</v>
      </c>
      <c r="E18" s="68"/>
      <c r="F18" s="73"/>
      <c r="G18" s="32" t="s">
        <v>88</v>
      </c>
      <c r="H18" s="34">
        <f>6*9.25</f>
        <v>55.5</v>
      </c>
    </row>
    <row r="19" spans="1:8" x14ac:dyDescent="0.25">
      <c r="A19" s="51">
        <v>17</v>
      </c>
      <c r="B19" s="55"/>
      <c r="C19" s="56" t="str">
        <f>"modified hourly wage = line " &amp; A17 &amp; "* line " &amp; A18</f>
        <v>modified hourly wage = line 15* line 16</v>
      </c>
      <c r="D19" s="75">
        <f>ROUNDDOWN((D18*D17),2)</f>
        <v>0</v>
      </c>
      <c r="E19" s="68"/>
      <c r="F19" s="73"/>
      <c r="G19" s="35" t="str">
        <f>"lesser of  line " &amp;E17 &amp; " or line " &amp; E18</f>
        <v xml:space="preserve">lesser of  line  or line </v>
      </c>
      <c r="H19" s="36">
        <f>MIN(H17:H18)</f>
        <v>55.5</v>
      </c>
    </row>
    <row r="20" spans="1:8" x14ac:dyDescent="0.25">
      <c r="A20" s="51">
        <v>18</v>
      </c>
      <c r="B20" s="55"/>
      <c r="C20" s="56" t="s">
        <v>3</v>
      </c>
      <c r="D20" s="113"/>
      <c r="E20" s="76"/>
      <c r="F20" s="73"/>
      <c r="G20" s="32" t="str">
        <f>"fringe benefit multiplier @ "&amp;(100*$D$3)&amp;"%"</f>
        <v>fringe benefit multiplier @ 37.49%</v>
      </c>
      <c r="H20" s="37">
        <f>1+$D$3</f>
        <v>1.3749</v>
      </c>
    </row>
    <row r="21" spans="1:8" x14ac:dyDescent="0.25">
      <c r="A21" s="51">
        <v>19</v>
      </c>
      <c r="B21" s="55"/>
      <c r="C21" s="58" t="str">
        <f>+"line "&amp;A19&amp;" multiplied by line " &amp; A20</f>
        <v>line 17 multiplied by line 18</v>
      </c>
      <c r="D21" s="53"/>
      <c r="E21" s="68">
        <f>ROUNDDOWN((D19*D20),2)</f>
        <v>0</v>
      </c>
      <c r="F21" s="73"/>
      <c r="G21" s="32" t="str">
        <f>"modified hourly wage = line " &amp; E19 &amp; "* line " &amp; E20</f>
        <v xml:space="preserve">modified hourly wage = line * line </v>
      </c>
      <c r="H21" s="38">
        <f>H20*H19</f>
        <v>76.306950000000001</v>
      </c>
    </row>
    <row r="22" spans="1:8" ht="16.5" thickBot="1" x14ac:dyDescent="0.3">
      <c r="A22" s="59">
        <v>20</v>
      </c>
      <c r="B22" s="46"/>
      <c r="C22" s="60" t="s">
        <v>43</v>
      </c>
      <c r="D22" s="77"/>
      <c r="E22" s="78"/>
      <c r="F22" s="129">
        <f>ROUNDDOWN((SUBTOTAL(9,E18:E21)),2)</f>
        <v>0</v>
      </c>
      <c r="G22" s="32" t="s">
        <v>3</v>
      </c>
      <c r="H22" s="39"/>
    </row>
    <row r="23" spans="1:8" ht="15.75" customHeight="1" x14ac:dyDescent="0.25">
      <c r="A23" s="51">
        <v>21</v>
      </c>
      <c r="B23" s="63" t="s">
        <v>21</v>
      </c>
      <c r="C23" s="52" t="s">
        <v>8</v>
      </c>
      <c r="D23" s="53"/>
      <c r="E23" s="68"/>
      <c r="F23" s="73"/>
      <c r="G23" s="32" t="s">
        <v>3</v>
      </c>
      <c r="H23" s="39"/>
    </row>
    <row r="24" spans="1:8" ht="15.75" customHeight="1" x14ac:dyDescent="0.25">
      <c r="A24" s="51">
        <v>22</v>
      </c>
      <c r="B24" s="222"/>
      <c r="C24" s="56" t="s">
        <v>2</v>
      </c>
      <c r="D24" s="123"/>
      <c r="E24" s="68"/>
      <c r="F24" s="73"/>
    </row>
    <row r="25" spans="1:8" ht="15.75" customHeight="1" x14ac:dyDescent="0.25">
      <c r="A25" s="51">
        <v>23</v>
      </c>
      <c r="B25" s="223"/>
      <c r="C25" s="56" t="str">
        <f>"fringe benefit multiplier @ "&amp;(100*$D$3)&amp;"%"</f>
        <v>fringe benefit multiplier @ 37.49%</v>
      </c>
      <c r="D25" s="74">
        <f>1+$D$3</f>
        <v>1.3749</v>
      </c>
      <c r="E25" s="68"/>
      <c r="F25" s="73"/>
    </row>
    <row r="26" spans="1:8" ht="15.75" customHeight="1" x14ac:dyDescent="0.25">
      <c r="A26" s="51">
        <v>24</v>
      </c>
      <c r="B26" s="55" t="s">
        <v>56</v>
      </c>
      <c r="C26" s="56" t="str">
        <f>"modified hourly wage = line " &amp; A24 &amp; "* line " &amp; A25</f>
        <v>modified hourly wage = line 22* line 23</v>
      </c>
      <c r="D26" s="75">
        <f>ROUNDDOWN((D25*D24),2)</f>
        <v>0</v>
      </c>
      <c r="E26" s="68"/>
      <c r="F26" s="73"/>
      <c r="G26" t="str">
        <f>(G6 &amp; " "&amp; G7 &amp;" @ "&amp;TEXT(H7,"$0.00"))</f>
        <v>Other:   @ $0.00</v>
      </c>
    </row>
    <row r="27" spans="1:8" ht="15.75" customHeight="1" x14ac:dyDescent="0.25">
      <c r="A27" s="51">
        <v>25</v>
      </c>
      <c r="B27" s="55"/>
      <c r="C27" s="56" t="s">
        <v>9</v>
      </c>
      <c r="D27" s="113"/>
      <c r="E27" s="76"/>
      <c r="F27" s="73"/>
    </row>
    <row r="28" spans="1:8" ht="15.75" customHeight="1" x14ac:dyDescent="0.25">
      <c r="A28" s="51">
        <v>26</v>
      </c>
      <c r="B28" s="57"/>
      <c r="C28" s="58" t="str">
        <f>+"line "&amp;A26&amp;" multiplied by line " &amp; A27</f>
        <v>line 24 multiplied by line 25</v>
      </c>
      <c r="D28" s="53"/>
      <c r="E28" s="68">
        <f>ROUNDDOWN((D26*D27),2)</f>
        <v>0</v>
      </c>
      <c r="F28" s="73"/>
      <c r="G28" t="s">
        <v>55</v>
      </c>
    </row>
    <row r="29" spans="1:8" ht="15.75" customHeight="1" x14ac:dyDescent="0.25">
      <c r="A29" s="51">
        <v>27</v>
      </c>
      <c r="B29" s="222"/>
      <c r="C29" s="56" t="s">
        <v>2</v>
      </c>
      <c r="D29" s="123"/>
      <c r="E29" s="68"/>
      <c r="F29" s="73"/>
    </row>
    <row r="30" spans="1:8" ht="15.75" customHeight="1" x14ac:dyDescent="0.25">
      <c r="A30" s="51">
        <v>28</v>
      </c>
      <c r="B30" s="223"/>
      <c r="C30" s="56" t="str">
        <f>"fringe benefit multiplier @ "&amp;(100*$D$3)&amp;"%"</f>
        <v>fringe benefit multiplier @ 37.49%</v>
      </c>
      <c r="D30" s="74">
        <f>1+$D$3</f>
        <v>1.3749</v>
      </c>
      <c r="E30" s="68"/>
      <c r="F30" s="73"/>
      <c r="G30" s="1"/>
    </row>
    <row r="31" spans="1:8" ht="15.75" customHeight="1" x14ac:dyDescent="0.25">
      <c r="A31" s="51">
        <v>29</v>
      </c>
      <c r="B31" s="55" t="s">
        <v>56</v>
      </c>
      <c r="C31" s="56" t="str">
        <f>"modified hourly wage = line " &amp; A30 &amp; "* line " &amp; A31</f>
        <v>modified hourly wage = line 28* line 29</v>
      </c>
      <c r="D31" s="75">
        <f>ROUNDDOWN((D30*D29),2)</f>
        <v>0</v>
      </c>
      <c r="E31" s="68"/>
      <c r="F31" s="73"/>
      <c r="G31" s="1"/>
    </row>
    <row r="32" spans="1:8" ht="15.75" customHeight="1" x14ac:dyDescent="0.25">
      <c r="A32" s="51">
        <v>30</v>
      </c>
      <c r="B32" s="55"/>
      <c r="C32" s="56" t="s">
        <v>9</v>
      </c>
      <c r="D32" s="113"/>
      <c r="E32" s="76"/>
      <c r="F32" s="73"/>
      <c r="G32" s="1"/>
    </row>
    <row r="33" spans="1:7" ht="15.75" customHeight="1" x14ac:dyDescent="0.25">
      <c r="A33" s="51">
        <v>31</v>
      </c>
      <c r="B33" s="57"/>
      <c r="C33" s="58" t="str">
        <f>+"line "&amp;A31&amp;" multiplied by line " &amp; A32</f>
        <v>line 29 multiplied by line 30</v>
      </c>
      <c r="D33" s="53"/>
      <c r="E33" s="68">
        <f>ROUNDDOWN((D31*D32),2)</f>
        <v>0</v>
      </c>
      <c r="F33" s="73"/>
      <c r="G33" s="1"/>
    </row>
    <row r="34" spans="1:7" ht="16.5" thickBot="1" x14ac:dyDescent="0.3">
      <c r="A34" s="59">
        <v>32</v>
      </c>
      <c r="B34" s="46"/>
      <c r="C34" s="60" t="s">
        <v>46</v>
      </c>
      <c r="D34" s="77"/>
      <c r="E34" s="78"/>
      <c r="F34" s="129">
        <f>ROUNDDOWN((SUBTOTAL(9,E24:E33)),2)</f>
        <v>0</v>
      </c>
      <c r="G34" s="1"/>
    </row>
    <row r="35" spans="1:7" ht="16.5" thickBot="1" x14ac:dyDescent="0.3">
      <c r="A35" s="114">
        <v>33</v>
      </c>
      <c r="B35" s="96"/>
      <c r="C35" s="115"/>
      <c r="D35" s="115"/>
      <c r="E35" s="98" t="str">
        <f>"TOTAL Labor costs - sum of lines "&amp;A15&amp;", "&amp; A22&amp;", and "&amp; A34&amp;":"</f>
        <v>TOTAL Labor costs - sum of lines 13, 20, and 32:</v>
      </c>
      <c r="F35" s="131">
        <f>ROUNDDOWN((F15+F22+F34),2)</f>
        <v>0</v>
      </c>
    </row>
    <row r="36" spans="1:7" x14ac:dyDescent="0.25">
      <c r="A36" s="51">
        <v>34</v>
      </c>
      <c r="B36" s="55" t="s">
        <v>26</v>
      </c>
      <c r="C36" s="52" t="s">
        <v>18</v>
      </c>
      <c r="D36" s="53"/>
      <c r="E36" s="68"/>
      <c r="F36" s="54"/>
    </row>
    <row r="37" spans="1:7" x14ac:dyDescent="0.25">
      <c r="A37" s="51">
        <v>35</v>
      </c>
      <c r="B37" s="55"/>
      <c r="C37" s="56" t="s">
        <v>32</v>
      </c>
      <c r="D37" s="116"/>
      <c r="E37" s="68"/>
      <c r="F37" s="54"/>
    </row>
    <row r="38" spans="1:7" x14ac:dyDescent="0.25">
      <c r="A38" s="51">
        <v>36</v>
      </c>
      <c r="B38" s="55"/>
      <c r="C38" s="56" t="str">
        <f>+"reduction at 5% / day = 0.05 x line " &amp; A37</f>
        <v>reduction at 5% / day = 0.05 x line 35</v>
      </c>
      <c r="D38" s="80">
        <f>0.05*D37</f>
        <v>0</v>
      </c>
      <c r="E38" s="68"/>
      <c r="F38" s="54"/>
    </row>
    <row r="39" spans="1:7" x14ac:dyDescent="0.25">
      <c r="A39" s="51">
        <v>37</v>
      </c>
      <c r="B39" s="55"/>
      <c r="C39" s="56" t="s">
        <v>10</v>
      </c>
      <c r="D39" s="80">
        <v>0.5</v>
      </c>
      <c r="E39" s="68"/>
      <c r="F39" s="54"/>
    </row>
    <row r="40" spans="1:7" x14ac:dyDescent="0.25">
      <c r="A40" s="51">
        <v>38</v>
      </c>
      <c r="B40" s="55"/>
      <c r="C40" s="56" t="str">
        <f>"lesser of  line "&amp;A38&amp;" or line "&amp;A39</f>
        <v>lesser of  line 36 or line 37</v>
      </c>
      <c r="D40" s="81">
        <f>MIN(D38:D39)</f>
        <v>0</v>
      </c>
      <c r="E40" s="68"/>
      <c r="F40" s="54"/>
    </row>
    <row r="41" spans="1:7" thickBot="1" x14ac:dyDescent="0.3">
      <c r="A41" s="51">
        <v>39</v>
      </c>
      <c r="B41" s="55"/>
      <c r="C41" s="56" t="str">
        <f>"Reduced amount = line "&amp;A40&amp;" x line "&amp;A35</f>
        <v>Reduced amount = line 38 x line 33</v>
      </c>
      <c r="D41" s="53"/>
      <c r="E41" s="68"/>
      <c r="F41" s="124">
        <f>-ROUNDUP((D40*F35),2)</f>
        <v>0</v>
      </c>
    </row>
    <row r="42" spans="1:7" s="70" customFormat="1" ht="17.25" thickTop="1" thickBot="1" x14ac:dyDescent="0.3">
      <c r="A42" s="82">
        <v>40</v>
      </c>
      <c r="B42" s="83"/>
      <c r="C42" s="84"/>
      <c r="D42" s="84"/>
      <c r="E42" s="85" t="s">
        <v>57</v>
      </c>
      <c r="F42" s="142">
        <f>ROUNDDOWN((F35+F41),2)</f>
        <v>0</v>
      </c>
    </row>
    <row r="43" spans="1:7" s="70" customFormat="1" ht="74.25" customHeight="1" thickTop="1" x14ac:dyDescent="0.25">
      <c r="A43" s="218" t="s">
        <v>60</v>
      </c>
      <c r="B43" s="219"/>
      <c r="C43" s="219"/>
      <c r="D43" s="219"/>
      <c r="E43" s="219"/>
      <c r="F43" s="219"/>
    </row>
    <row r="44" spans="1:7" s="70" customFormat="1" ht="17.25" customHeight="1" thickBot="1" x14ac:dyDescent="0.3">
      <c r="A44" s="108">
        <v>40</v>
      </c>
      <c r="B44" s="109"/>
      <c r="C44" s="110"/>
      <c r="D44" s="110"/>
      <c r="E44" s="111" t="s">
        <v>59</v>
      </c>
      <c r="F44" s="141">
        <f>F42</f>
        <v>0</v>
      </c>
    </row>
    <row r="45" spans="1:7" ht="15.75" customHeight="1" thickTop="1" x14ac:dyDescent="0.25">
      <c r="A45" s="51">
        <v>41</v>
      </c>
      <c r="B45" s="55" t="s">
        <v>24</v>
      </c>
      <c r="C45" s="52" t="s">
        <v>5</v>
      </c>
      <c r="D45" s="53"/>
      <c r="E45" s="68"/>
      <c r="F45" s="54"/>
    </row>
    <row r="46" spans="1:7" ht="15.75" customHeight="1" x14ac:dyDescent="0.25">
      <c r="A46" s="51">
        <v>42</v>
      </c>
      <c r="B46" s="55"/>
      <c r="C46" s="56" t="s">
        <v>7</v>
      </c>
      <c r="D46" s="164"/>
      <c r="E46" s="68"/>
      <c r="F46" s="54"/>
    </row>
    <row r="47" spans="1:7" ht="15.75" customHeight="1" x14ac:dyDescent="0.25">
      <c r="A47" s="51">
        <v>43</v>
      </c>
      <c r="B47" s="55"/>
      <c r="C47" s="56" t="s">
        <v>6</v>
      </c>
      <c r="D47" s="86">
        <v>0.1</v>
      </c>
      <c r="E47" s="76"/>
      <c r="F47" s="54"/>
    </row>
    <row r="48" spans="1:7" ht="15.75" customHeight="1" x14ac:dyDescent="0.25">
      <c r="A48" s="51">
        <v>44</v>
      </c>
      <c r="B48" s="55"/>
      <c r="C48" s="61" t="str">
        <f>+"line "&amp;A46&amp;" multiplied by line " &amp; A47</f>
        <v>line 42 multiplied by line 43</v>
      </c>
      <c r="D48" s="87"/>
      <c r="E48" s="68">
        <f>D46*D47</f>
        <v>0</v>
      </c>
      <c r="F48" s="54"/>
    </row>
    <row r="49" spans="1:8" ht="15.75" customHeight="1" x14ac:dyDescent="0.25">
      <c r="A49" s="51">
        <v>45</v>
      </c>
      <c r="B49" s="55"/>
      <c r="C49" s="119" t="s">
        <v>34</v>
      </c>
      <c r="D49" s="117"/>
      <c r="E49" s="68"/>
      <c r="F49" s="54"/>
    </row>
    <row r="50" spans="1:8" ht="15.75" customHeight="1" x14ac:dyDescent="0.25">
      <c r="A50" s="51">
        <v>46</v>
      </c>
      <c r="B50" s="55"/>
      <c r="C50" s="69" t="s">
        <v>33</v>
      </c>
      <c r="D50" s="118"/>
      <c r="E50" s="76"/>
      <c r="F50" s="54"/>
    </row>
    <row r="51" spans="1:8" ht="15.75" customHeight="1" x14ac:dyDescent="0.25">
      <c r="A51" s="51">
        <v>47</v>
      </c>
      <c r="B51" s="55"/>
      <c r="C51" s="61" t="str">
        <f>+"line "&amp;A49&amp;" multiplied by line " &amp; A50</f>
        <v>line 45 multiplied by line 46</v>
      </c>
      <c r="D51" s="87"/>
      <c r="E51" s="68">
        <f>D49*D50</f>
        <v>0</v>
      </c>
      <c r="F51" s="54"/>
    </row>
    <row r="52" spans="1:8" ht="15.75" customHeight="1" x14ac:dyDescent="0.25">
      <c r="A52" s="51">
        <v>48</v>
      </c>
      <c r="B52" s="55"/>
      <c r="C52" s="119" t="s">
        <v>34</v>
      </c>
      <c r="D52" s="117"/>
      <c r="E52" s="68"/>
      <c r="F52" s="54"/>
    </row>
    <row r="53" spans="1:8" ht="15.75" customHeight="1" x14ac:dyDescent="0.25">
      <c r="A53" s="51">
        <v>49</v>
      </c>
      <c r="B53" s="55"/>
      <c r="C53" s="69" t="s">
        <v>33</v>
      </c>
      <c r="D53" s="118"/>
      <c r="E53" s="76"/>
      <c r="F53" s="54"/>
    </row>
    <row r="54" spans="1:8" ht="15.75" customHeight="1" x14ac:dyDescent="0.25">
      <c r="A54" s="51">
        <v>50</v>
      </c>
      <c r="B54" s="55"/>
      <c r="C54" s="61" t="str">
        <f>+"line "&amp;A52&amp;" multiplied by line " &amp; A53</f>
        <v>line 48 multiplied by line 49</v>
      </c>
      <c r="D54" s="87"/>
      <c r="E54" s="68">
        <f>D52*D53</f>
        <v>0</v>
      </c>
      <c r="F54" s="54"/>
    </row>
    <row r="55" spans="1:8" ht="16.5" thickBot="1" x14ac:dyDescent="0.3">
      <c r="A55" s="59">
        <v>51</v>
      </c>
      <c r="B55" s="46"/>
      <c r="C55" s="60" t="s">
        <v>45</v>
      </c>
      <c r="D55" s="77"/>
      <c r="E55" s="78"/>
      <c r="F55" s="79">
        <f>SUBTOTAL(9,E45:E54)</f>
        <v>0</v>
      </c>
      <c r="H55" s="2"/>
    </row>
    <row r="56" spans="1:8" x14ac:dyDescent="0.25">
      <c r="A56" s="51">
        <v>52</v>
      </c>
      <c r="B56" s="88" t="s">
        <v>23</v>
      </c>
      <c r="C56" s="89" t="s">
        <v>4</v>
      </c>
      <c r="D56" s="90"/>
      <c r="E56" s="91"/>
      <c r="F56" s="92"/>
    </row>
    <row r="57" spans="1:8" x14ac:dyDescent="0.25">
      <c r="A57" s="51">
        <v>53</v>
      </c>
      <c r="B57" s="55"/>
      <c r="C57" s="62" t="str">
        <f>"Number of "&amp;G3&amp;IF(H3=0,""," @ "&amp;TEXT(H3,"$0.00"))</f>
        <v>Number of CD's @ $1.00</v>
      </c>
      <c r="D57" s="120"/>
      <c r="E57" s="68">
        <f>D57*H3</f>
        <v>0</v>
      </c>
      <c r="F57" s="54"/>
    </row>
    <row r="58" spans="1:8" x14ac:dyDescent="0.25">
      <c r="A58" s="51">
        <v>54</v>
      </c>
      <c r="B58" s="55"/>
      <c r="C58" s="62" t="str">
        <f>"Number of "&amp;G4&amp;IF(H4=0,""," @ "&amp;TEXT(H4,"$0.00"))</f>
        <v>Number of Flash Drives</v>
      </c>
      <c r="D58" s="120"/>
      <c r="E58" s="68">
        <f>D58*H4</f>
        <v>0</v>
      </c>
      <c r="F58" s="54"/>
    </row>
    <row r="59" spans="1:8" x14ac:dyDescent="0.25">
      <c r="A59" s="51">
        <v>55</v>
      </c>
      <c r="B59" s="55"/>
      <c r="C59" s="62" t="str">
        <f>"Number of "&amp;G5&amp;IF(H5=0,""," @ "&amp;TEXT(H5,"$0.00"))</f>
        <v>Number of Tapes</v>
      </c>
      <c r="D59" s="120"/>
      <c r="E59" s="68">
        <f>D59*H5</f>
        <v>0</v>
      </c>
      <c r="F59" s="54"/>
    </row>
    <row r="60" spans="1:8" x14ac:dyDescent="0.25">
      <c r="A60" s="51">
        <v>56</v>
      </c>
      <c r="B60" s="55"/>
      <c r="C60" s="56" t="str">
        <f>G6 &amp; " "&amp; IF(G7="","", G7) &amp;IF(H7=0,""," @ "&amp;TEXT(H7,"$0.00"))</f>
        <v xml:space="preserve">Other:  </v>
      </c>
      <c r="D60" s="121"/>
      <c r="E60" s="68">
        <f>D60*H7</f>
        <v>0</v>
      </c>
      <c r="F60" s="54"/>
    </row>
    <row r="61" spans="1:8" x14ac:dyDescent="0.25">
      <c r="A61" s="51">
        <v>57</v>
      </c>
      <c r="B61" s="93"/>
      <c r="C61" s="94" t="str">
        <f>"Sum of lines " &amp; A57 &amp; " - " &amp; A60</f>
        <v>Sum of lines 53 - 56</v>
      </c>
      <c r="D61" s="53"/>
      <c r="E61" s="68">
        <f>SUM(E57:E60)</f>
        <v>0</v>
      </c>
      <c r="F61" s="54"/>
    </row>
    <row r="62" spans="1:8" ht="16.5" thickBot="1" x14ac:dyDescent="0.3">
      <c r="A62" s="59">
        <v>58</v>
      </c>
      <c r="B62" s="46"/>
      <c r="C62" s="60" t="s">
        <v>44</v>
      </c>
      <c r="D62" s="77"/>
      <c r="E62" s="78"/>
      <c r="F62" s="79">
        <f>E61</f>
        <v>0</v>
      </c>
    </row>
    <row r="63" spans="1:8" s="70" customFormat="1" ht="16.5" thickBot="1" x14ac:dyDescent="0.3">
      <c r="A63" s="95">
        <v>59</v>
      </c>
      <c r="B63" s="96"/>
      <c r="C63" s="97"/>
      <c r="D63" s="97"/>
      <c r="E63" s="98" t="str">
        <f>"Costs of paper copies and electronic media - sum of lines "&amp;A55&amp;" and " &amp; A62&amp;":"</f>
        <v>Costs of paper copies and electronic media - sum of lines 51 and 58:</v>
      </c>
      <c r="F63" s="140">
        <f>F55+F62</f>
        <v>0</v>
      </c>
    </row>
    <row r="64" spans="1:8" x14ac:dyDescent="0.25">
      <c r="A64" s="51">
        <v>60</v>
      </c>
      <c r="B64" s="55" t="s">
        <v>25</v>
      </c>
      <c r="C64" s="52" t="s">
        <v>16</v>
      </c>
      <c r="D64" s="53"/>
      <c r="E64" s="68"/>
      <c r="F64" s="54"/>
    </row>
    <row r="65" spans="1:7" ht="16.5" thickBot="1" x14ac:dyDescent="0.3">
      <c r="A65" s="51">
        <v>61</v>
      </c>
      <c r="B65" s="55"/>
      <c r="C65" s="56" t="s">
        <v>17</v>
      </c>
      <c r="D65" s="122"/>
      <c r="E65" s="68"/>
      <c r="F65" s="143">
        <f>-IF(D65="y",20,)</f>
        <v>0</v>
      </c>
    </row>
    <row r="66" spans="1:7" s="70" customFormat="1" ht="17.25" thickTop="1" thickBot="1" x14ac:dyDescent="0.3">
      <c r="A66" s="99">
        <v>62</v>
      </c>
      <c r="B66" s="224" t="str">
        <f>"Net Charge after any reductions, but not less than zero - sum of lines "&amp;A42&amp;", " &amp;A63&amp;", and " &amp; A65&amp;":"</f>
        <v>Net Charge after any reductions, but not less than zero - sum of lines 40, 59, and 61:</v>
      </c>
      <c r="C66" s="225"/>
      <c r="D66" s="225"/>
      <c r="E66" s="225"/>
      <c r="F66" s="139">
        <f>IF((F42+F63+F65)&lt;0.01,0,(F42+F63+F65))</f>
        <v>0</v>
      </c>
    </row>
    <row r="67" spans="1:7" ht="16.5" thickTop="1" x14ac:dyDescent="0.25">
      <c r="A67" s="51">
        <v>63</v>
      </c>
      <c r="B67" s="55"/>
      <c r="C67" s="61" t="s">
        <v>65</v>
      </c>
      <c r="D67" s="130"/>
      <c r="E67" s="68"/>
      <c r="F67" s="54"/>
    </row>
    <row r="68" spans="1:7" s="70" customFormat="1" ht="16.5" thickBot="1" x14ac:dyDescent="0.3">
      <c r="A68" s="180">
        <v>64</v>
      </c>
      <c r="B68" s="181"/>
      <c r="C68" s="182" t="s">
        <v>58</v>
      </c>
      <c r="D68" s="183"/>
      <c r="E68" s="184"/>
      <c r="F68" s="144">
        <f>-D67</f>
        <v>0</v>
      </c>
    </row>
    <row r="69" spans="1:7" ht="16.5" customHeight="1" x14ac:dyDescent="0.25">
      <c r="A69" s="157">
        <v>65</v>
      </c>
      <c r="B69" s="88"/>
      <c r="C69" s="159" t="s">
        <v>62</v>
      </c>
      <c r="D69" s="90"/>
      <c r="E69" s="91"/>
      <c r="F69" s="163"/>
    </row>
    <row r="70" spans="1:7" s="128" customFormat="1" ht="37.5" customHeight="1" thickBot="1" x14ac:dyDescent="0.4">
      <c r="A70" s="155">
        <v>66</v>
      </c>
      <c r="B70" s="216" t="str">
        <f>"Cost if EMAILED OR VIEWED IN PERSON - sum of lines "&amp; A42&amp; " and " &amp; A65&amp;" (but not less than zero), offset by any credit listed in line "&amp;A68&amp;":"</f>
        <v>Cost if EMAILED OR VIEWED IN PERSON - sum of lines 40 and 61 (but not less than zero), offset by any credit listed in line 64:</v>
      </c>
      <c r="C70" s="217"/>
      <c r="D70" s="217"/>
      <c r="E70" s="217"/>
      <c r="F70" s="156">
        <f>IF((F42+F65)&lt;0.01,0,(F42+F65+F68))</f>
        <v>0</v>
      </c>
      <c r="G70" s="127"/>
    </row>
    <row r="71" spans="1:7" x14ac:dyDescent="0.25">
      <c r="A71" s="157">
        <v>67</v>
      </c>
      <c r="B71" s="158"/>
      <c r="C71" s="159" t="s">
        <v>63</v>
      </c>
      <c r="D71" s="160"/>
      <c r="E71" s="161"/>
      <c r="F71" s="162"/>
    </row>
    <row r="72" spans="1:7" s="128" customFormat="1" ht="38.25" customHeight="1" thickBot="1" x14ac:dyDescent="0.4">
      <c r="A72" s="155">
        <v>68</v>
      </c>
      <c r="B72" s="216" t="str">
        <f>"Cost if RECORDS are PICKED UP - line "&amp; A66&amp; ", offset by any credit listed in line "&amp;A68&amp;":"</f>
        <v>Cost if RECORDS are PICKED UP - line 62, offset by any credit listed in line 64:</v>
      </c>
      <c r="C72" s="217"/>
      <c r="D72" s="217"/>
      <c r="E72" s="217"/>
      <c r="F72" s="156">
        <f>IF(F42+F63+F545&lt;0.01,0,(F42+F63+F65+F68))</f>
        <v>0</v>
      </c>
      <c r="G72" s="127"/>
    </row>
    <row r="73" spans="1:7" s="5" customFormat="1" ht="15.75" customHeight="1" x14ac:dyDescent="0.25">
      <c r="A73" s="51">
        <v>69</v>
      </c>
      <c r="B73" s="3"/>
      <c r="C73" s="112" t="s">
        <v>64</v>
      </c>
      <c r="D73" s="87"/>
      <c r="E73" s="101"/>
      <c r="F73" s="102"/>
    </row>
    <row r="74" spans="1:7" s="5" customFormat="1" ht="15.75" customHeight="1" x14ac:dyDescent="0.25">
      <c r="A74" s="51">
        <v>70</v>
      </c>
      <c r="B74" s="55" t="s">
        <v>20</v>
      </c>
      <c r="C74" s="52" t="s">
        <v>78</v>
      </c>
      <c r="D74" s="53"/>
      <c r="E74" s="68"/>
      <c r="F74" s="54"/>
    </row>
    <row r="75" spans="1:7" s="5" customFormat="1" ht="15.75" customHeight="1" x14ac:dyDescent="0.25">
      <c r="A75" s="150">
        <v>71</v>
      </c>
      <c r="B75" s="107"/>
      <c r="C75" s="151" t="s">
        <v>15</v>
      </c>
      <c r="D75" s="152"/>
      <c r="E75" s="153"/>
      <c r="F75" s="154"/>
    </row>
    <row r="76" spans="1:7" s="5" customFormat="1" ht="15.75" customHeight="1" thickBot="1" x14ac:dyDescent="0.3">
      <c r="A76" s="145">
        <v>72</v>
      </c>
      <c r="B76" s="146"/>
      <c r="C76" s="147"/>
      <c r="D76" s="147"/>
      <c r="E76" s="148" t="str">
        <f>"Cost of mailing:"</f>
        <v>Cost of mailing:</v>
      </c>
      <c r="F76" s="149">
        <f>D75</f>
        <v>0</v>
      </c>
    </row>
    <row r="77" spans="1:7" s="128" customFormat="1" ht="38.25" customHeight="1" thickBot="1" x14ac:dyDescent="0.4">
      <c r="A77" s="125">
        <v>73</v>
      </c>
      <c r="B77" s="220" t="str">
        <f>"Cost if RECORDS are MAILED - sum of lines " &amp;A66&amp; " and " &amp; A76&amp;" (but not less than zero), offset by any credit listed in line "&amp;A68&amp;":"</f>
        <v>Cost if RECORDS are MAILED - sum of lines 62 and 72 (but not less than zero), offset by any credit listed in line 64:</v>
      </c>
      <c r="C77" s="221"/>
      <c r="D77" s="221"/>
      <c r="E77" s="221"/>
      <c r="F77" s="126">
        <f>IF((F42+F63+F65+F76)&lt;0.01,0,(F42+F63+F65+F76+F68))</f>
        <v>0</v>
      </c>
      <c r="G77" s="127"/>
    </row>
  </sheetData>
  <sheetProtection formatCells="0" formatColumns="0" selectLockedCells="1"/>
  <customSheetViews>
    <customSheetView guid="{D23A040F-4798-437C-BF67-8A7E03794C82}" showPageBreaks="1" printArea="1">
      <pane ySplit="1" topLeftCell="A2" activePane="bottomLeft" state="frozen"/>
      <selection pane="bottomLeft" activeCell="F70" sqref="A2:F70"/>
      <pageMargins left="0.7" right="0.7" top="0.75" bottom="0.75" header="0.3" footer="0.3"/>
      <pageSetup scale="94" orientation="portrait" r:id="rId1"/>
    </customSheetView>
  </customSheetViews>
  <mergeCells count="9">
    <mergeCell ref="B72:E72"/>
    <mergeCell ref="A43:F43"/>
    <mergeCell ref="B77:E77"/>
    <mergeCell ref="B5:B6"/>
    <mergeCell ref="B10:B11"/>
    <mergeCell ref="B24:B25"/>
    <mergeCell ref="B29:B30"/>
    <mergeCell ref="B70:E70"/>
    <mergeCell ref="B66:E66"/>
  </mergeCells>
  <conditionalFormatting sqref="F65">
    <cfRule type="cellIs" dxfId="41" priority="47" operator="lessThan">
      <formula>0</formula>
    </cfRule>
  </conditionalFormatting>
  <conditionalFormatting sqref="E57:E59">
    <cfRule type="cellIs" dxfId="40" priority="37" operator="equal">
      <formula>0</formula>
    </cfRule>
  </conditionalFormatting>
  <conditionalFormatting sqref="D7">
    <cfRule type="cellIs" dxfId="39" priority="36" operator="equal">
      <formula>0</formula>
    </cfRule>
  </conditionalFormatting>
  <conditionalFormatting sqref="D12">
    <cfRule type="cellIs" dxfId="38" priority="35" operator="equal">
      <formula>0</formula>
    </cfRule>
  </conditionalFormatting>
  <conditionalFormatting sqref="D19">
    <cfRule type="cellIs" dxfId="37" priority="34" operator="equal">
      <formula>0</formula>
    </cfRule>
  </conditionalFormatting>
  <conditionalFormatting sqref="D26">
    <cfRule type="cellIs" dxfId="36" priority="33" operator="equal">
      <formula>0</formula>
    </cfRule>
  </conditionalFormatting>
  <conditionalFormatting sqref="D31">
    <cfRule type="cellIs" dxfId="35" priority="32" operator="equal">
      <formula>0</formula>
    </cfRule>
  </conditionalFormatting>
  <conditionalFormatting sqref="E9">
    <cfRule type="cellIs" dxfId="34" priority="31" operator="equal">
      <formula>0</formula>
    </cfRule>
  </conditionalFormatting>
  <conditionalFormatting sqref="E14">
    <cfRule type="cellIs" dxfId="33" priority="30" operator="equal">
      <formula>0</formula>
    </cfRule>
  </conditionalFormatting>
  <conditionalFormatting sqref="E21">
    <cfRule type="cellIs" dxfId="32" priority="29" operator="equal">
      <formula>0</formula>
    </cfRule>
  </conditionalFormatting>
  <conditionalFormatting sqref="E28">
    <cfRule type="cellIs" dxfId="31" priority="28" operator="equal">
      <formula>0</formula>
    </cfRule>
  </conditionalFormatting>
  <conditionalFormatting sqref="E33">
    <cfRule type="cellIs" dxfId="30" priority="27" operator="equal">
      <formula>0</formula>
    </cfRule>
  </conditionalFormatting>
  <conditionalFormatting sqref="E48">
    <cfRule type="cellIs" dxfId="29" priority="26" operator="equal">
      <formula>0</formula>
    </cfRule>
  </conditionalFormatting>
  <conditionalFormatting sqref="E51">
    <cfRule type="cellIs" dxfId="28" priority="25" operator="equal">
      <formula>0</formula>
    </cfRule>
  </conditionalFormatting>
  <conditionalFormatting sqref="E54">
    <cfRule type="cellIs" dxfId="27" priority="24" operator="equal">
      <formula>0</formula>
    </cfRule>
  </conditionalFormatting>
  <conditionalFormatting sqref="E61">
    <cfRule type="cellIs" dxfId="26" priority="23" operator="equal">
      <formula>0</formula>
    </cfRule>
  </conditionalFormatting>
  <conditionalFormatting sqref="E60">
    <cfRule type="cellIs" dxfId="25" priority="20" operator="equal">
      <formula>0</formula>
    </cfRule>
  </conditionalFormatting>
  <pageMargins left="0.7" right="0.50916666666666699" top="0.75" bottom="0.75" header="0.3" footer="0.3"/>
  <pageSetup scale="91" fitToHeight="2" orientation="portrait" r:id="rId2"/>
  <headerFooter>
    <oddHeader>&amp;L&amp;12Page &amp;P  of 2 &amp;C&amp;"-,Bold"&amp;14FOIA Fee Itemization Form&amp;Rpursuant to MCL 15.234(4), 
effective January 1, 2016</oddHeader>
    <oddFooter>&amp;L&amp;8
Revision date: 02/11/2016</oddFooter>
  </headerFooter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4" zoomScaleNormal="100" zoomScaleSheetLayoutView="100" workbookViewId="0">
      <selection activeCell="H19" sqref="H19"/>
    </sheetView>
  </sheetViews>
  <sheetFormatPr defaultRowHeight="15.75" x14ac:dyDescent="0.25"/>
  <cols>
    <col min="1" max="1" width="8" style="4" customWidth="1"/>
    <col min="2" max="2" width="10.140625" style="3" customWidth="1"/>
    <col min="3" max="3" width="50.85546875" style="1" customWidth="1"/>
    <col min="4" max="4" width="9.5703125" customWidth="1"/>
    <col min="5" max="5" width="8.85546875" style="65" customWidth="1"/>
    <col min="6" max="6" width="14.42578125" style="44" customWidth="1"/>
    <col min="7" max="7" width="51.5703125" customWidth="1"/>
    <col min="8" max="8" width="11.5703125" bestFit="1" customWidth="1"/>
    <col min="10" max="16384" width="9.140625" style="43"/>
  </cols>
  <sheetData>
    <row r="1" spans="1:13" ht="15" x14ac:dyDescent="0.25">
      <c r="A1" s="132"/>
      <c r="B1" s="133"/>
      <c r="C1" s="134"/>
      <c r="D1" s="135"/>
      <c r="E1" s="136" t="s">
        <v>61</v>
      </c>
      <c r="F1" s="137"/>
      <c r="J1" s="53"/>
      <c r="K1" s="53"/>
      <c r="L1" s="53"/>
      <c r="M1" s="53"/>
    </row>
    <row r="2" spans="1:13" ht="16.5" thickBot="1" x14ac:dyDescent="0.3">
      <c r="A2" s="45" t="s">
        <v>1</v>
      </c>
      <c r="B2" s="46" t="s">
        <v>27</v>
      </c>
      <c r="C2" s="47" t="s">
        <v>0</v>
      </c>
      <c r="D2" s="45" t="s">
        <v>28</v>
      </c>
      <c r="E2" s="66" t="s">
        <v>29</v>
      </c>
      <c r="F2" s="67" t="s">
        <v>30</v>
      </c>
      <c r="G2" s="40" t="s">
        <v>47</v>
      </c>
      <c r="H2" s="7" t="s">
        <v>48</v>
      </c>
      <c r="J2" s="53"/>
      <c r="K2" s="53"/>
      <c r="L2" s="53"/>
      <c r="M2" s="53"/>
    </row>
    <row r="3" spans="1:13" ht="16.5" thickBot="1" x14ac:dyDescent="0.3">
      <c r="A3" s="48">
        <v>1</v>
      </c>
      <c r="B3" s="49" t="s">
        <v>25</v>
      </c>
      <c r="C3" s="50" t="s">
        <v>35</v>
      </c>
      <c r="D3" s="138">
        <v>0.37490000000000001</v>
      </c>
      <c r="E3" s="71"/>
      <c r="F3" s="72"/>
      <c r="G3" t="s">
        <v>49</v>
      </c>
      <c r="H3" s="41">
        <v>1</v>
      </c>
      <c r="J3" s="53"/>
      <c r="K3" s="53"/>
      <c r="L3" s="53"/>
      <c r="M3" s="53"/>
    </row>
    <row r="4" spans="1:13" ht="20.25" customHeight="1" x14ac:dyDescent="0.25">
      <c r="A4" s="51">
        <v>2</v>
      </c>
      <c r="B4" s="88" t="s">
        <v>19</v>
      </c>
      <c r="C4" s="52" t="s">
        <v>13</v>
      </c>
      <c r="D4" s="53"/>
      <c r="E4" s="68"/>
      <c r="F4" s="73"/>
      <c r="G4" t="s">
        <v>50</v>
      </c>
      <c r="H4" s="41"/>
      <c r="J4" s="53"/>
      <c r="K4" s="53"/>
      <c r="L4" s="53"/>
      <c r="M4" s="53"/>
    </row>
    <row r="5" spans="1:13" ht="30" x14ac:dyDescent="0.25">
      <c r="A5" s="51">
        <v>3</v>
      </c>
      <c r="B5" s="222"/>
      <c r="C5" s="56" t="s">
        <v>2</v>
      </c>
      <c r="D5" s="123"/>
      <c r="E5" s="68"/>
      <c r="F5" s="73"/>
      <c r="G5" t="s">
        <v>51</v>
      </c>
      <c r="H5" s="41"/>
      <c r="J5" s="53"/>
      <c r="K5" s="53"/>
      <c r="L5" s="53"/>
      <c r="M5" s="53"/>
    </row>
    <row r="6" spans="1:13" x14ac:dyDescent="0.25">
      <c r="A6" s="51">
        <v>4</v>
      </c>
      <c r="B6" s="223"/>
      <c r="C6" s="56" t="str">
        <f>"fringe benefit multiplier @ "&amp;(100*$D$3)&amp;"%"</f>
        <v>fringe benefit multiplier @ 37.49%</v>
      </c>
      <c r="D6" s="74">
        <f>1+$D$3</f>
        <v>1.3749</v>
      </c>
      <c r="E6" s="68"/>
      <c r="F6" s="73"/>
      <c r="G6" s="31" t="s">
        <v>52</v>
      </c>
      <c r="J6" s="53"/>
      <c r="K6" s="53"/>
      <c r="L6" s="53"/>
      <c r="M6" s="53"/>
    </row>
    <row r="7" spans="1:13" ht="19.5" customHeight="1" x14ac:dyDescent="0.25">
      <c r="A7" s="51">
        <v>5</v>
      </c>
      <c r="B7" s="55" t="s">
        <v>56</v>
      </c>
      <c r="C7" s="56" t="str">
        <f>"modified hourly wage = line " &amp; A5 &amp; "* line " &amp; A6</f>
        <v>modified hourly wage = line 3* line 4</v>
      </c>
      <c r="D7" s="75">
        <f>ROUNDDOWN((D6*D5),2)</f>
        <v>0</v>
      </c>
      <c r="E7" s="68"/>
      <c r="F7" s="73"/>
      <c r="G7" s="42"/>
      <c r="H7" s="41"/>
      <c r="J7" s="53"/>
      <c r="K7" s="53"/>
      <c r="L7" s="53"/>
      <c r="M7" s="53"/>
    </row>
    <row r="8" spans="1:13" x14ac:dyDescent="0.25">
      <c r="A8" s="51">
        <v>6</v>
      </c>
      <c r="B8" s="55"/>
      <c r="C8" s="56" t="s">
        <v>3</v>
      </c>
      <c r="D8" s="113"/>
      <c r="E8" s="76"/>
      <c r="F8" s="73"/>
      <c r="G8" s="42"/>
      <c r="H8" s="41"/>
      <c r="J8" s="53"/>
      <c r="K8" s="53"/>
      <c r="L8" s="53"/>
      <c r="M8" s="53"/>
    </row>
    <row r="9" spans="1:13" ht="17.25" customHeight="1" x14ac:dyDescent="0.25">
      <c r="A9" s="51">
        <v>7</v>
      </c>
      <c r="B9" s="107"/>
      <c r="C9" s="58" t="str">
        <f>+"line "&amp;A7&amp;" multiplied by line " &amp; A8</f>
        <v>line 5 multiplied by line 6</v>
      </c>
      <c r="D9" s="53"/>
      <c r="E9" s="68">
        <f>ROUNDDOWN((D7*D8),2)</f>
        <v>0</v>
      </c>
      <c r="F9" s="73"/>
      <c r="G9" s="42"/>
      <c r="H9" s="41"/>
      <c r="J9" s="53"/>
      <c r="K9" s="53"/>
      <c r="L9" s="53"/>
      <c r="M9" s="53"/>
    </row>
    <row r="10" spans="1:13" ht="15" customHeight="1" x14ac:dyDescent="0.25">
      <c r="A10" s="51">
        <v>8</v>
      </c>
      <c r="B10" s="222"/>
      <c r="C10" s="56" t="s">
        <v>2</v>
      </c>
      <c r="D10" s="123"/>
      <c r="E10" s="68"/>
      <c r="F10" s="73"/>
      <c r="G10" s="42"/>
      <c r="H10" s="41"/>
      <c r="J10" s="53"/>
      <c r="K10" s="53"/>
      <c r="L10" s="53"/>
      <c r="M10" s="53"/>
    </row>
    <row r="11" spans="1:13" x14ac:dyDescent="0.25">
      <c r="A11" s="51">
        <v>9</v>
      </c>
      <c r="B11" s="223"/>
      <c r="C11" s="56" t="str">
        <f>"fringe benefit multiplier @ "&amp;(100*$D$3)&amp;"%"</f>
        <v>fringe benefit multiplier @ 37.49%</v>
      </c>
      <c r="D11" s="74">
        <f>1+$D$3</f>
        <v>1.3749</v>
      </c>
      <c r="E11" s="68"/>
      <c r="F11" s="73"/>
      <c r="G11" t="s">
        <v>53</v>
      </c>
      <c r="H11" s="41"/>
      <c r="J11" s="53"/>
      <c r="K11" s="53"/>
      <c r="L11" s="53"/>
      <c r="M11" s="53"/>
    </row>
    <row r="12" spans="1:13" ht="18.75" customHeight="1" x14ac:dyDescent="0.25">
      <c r="A12" s="51">
        <v>10</v>
      </c>
      <c r="B12" s="55" t="s">
        <v>56</v>
      </c>
      <c r="C12" s="56" t="str">
        <f>"modified hourly wage = line " &amp; A10 &amp; "* line " &amp; A11</f>
        <v>modified hourly wage = line 8* line 9</v>
      </c>
      <c r="D12" s="75">
        <f>ROUNDDOWN((D11*D10),2)</f>
        <v>0</v>
      </c>
      <c r="E12" s="68"/>
      <c r="F12" s="73"/>
      <c r="G12" t="s">
        <v>54</v>
      </c>
      <c r="H12" s="41"/>
      <c r="J12" s="53"/>
      <c r="K12" s="53"/>
      <c r="L12" s="53"/>
      <c r="M12" s="53"/>
    </row>
    <row r="13" spans="1:13" x14ac:dyDescent="0.25">
      <c r="A13" s="51">
        <v>11</v>
      </c>
      <c r="B13" s="55"/>
      <c r="C13" s="56" t="s">
        <v>3</v>
      </c>
      <c r="D13" s="113"/>
      <c r="E13" s="76"/>
      <c r="F13" s="73"/>
      <c r="H13" s="41"/>
      <c r="J13" s="53"/>
      <c r="K13" s="53"/>
      <c r="L13" s="53"/>
      <c r="M13" s="53"/>
    </row>
    <row r="14" spans="1:13" x14ac:dyDescent="0.25">
      <c r="A14" s="51">
        <v>12</v>
      </c>
      <c r="B14" s="57"/>
      <c r="C14" s="58" t="str">
        <f>+"line "&amp;A12&amp;" multiplied by line " &amp; A13</f>
        <v>line 10 multiplied by line 11</v>
      </c>
      <c r="D14" s="53"/>
      <c r="E14" s="68">
        <f>ROUNDDOWN((D12*D13),2)</f>
        <v>0</v>
      </c>
      <c r="F14" s="73"/>
      <c r="H14" s="41"/>
      <c r="J14" s="53"/>
      <c r="K14" s="53"/>
      <c r="L14" s="53"/>
      <c r="M14" s="53"/>
    </row>
    <row r="15" spans="1:13" ht="16.5" thickBot="1" x14ac:dyDescent="0.3">
      <c r="A15" s="59">
        <v>13</v>
      </c>
      <c r="B15" s="46"/>
      <c r="C15" s="60" t="s">
        <v>73</v>
      </c>
      <c r="D15" s="77"/>
      <c r="E15" s="78"/>
      <c r="F15" s="129">
        <f>ROUNDDOWN((SUBTOTAL(9,E4:E14)),2)</f>
        <v>0</v>
      </c>
      <c r="H15" s="41"/>
      <c r="J15" s="64"/>
      <c r="K15" s="53"/>
      <c r="L15" s="53"/>
      <c r="M15" s="53"/>
    </row>
    <row r="16" spans="1:13" ht="20.25" customHeight="1" x14ac:dyDescent="0.25">
      <c r="A16" s="51">
        <v>14</v>
      </c>
      <c r="B16" s="55" t="s">
        <v>22</v>
      </c>
      <c r="C16" s="52" t="s">
        <v>14</v>
      </c>
      <c r="D16" s="53"/>
      <c r="E16" s="68"/>
      <c r="F16" s="73"/>
      <c r="H16" s="2"/>
      <c r="J16" s="53"/>
      <c r="K16" s="53"/>
      <c r="L16" s="53"/>
      <c r="M16" s="53"/>
    </row>
    <row r="17" spans="1:13" ht="30" x14ac:dyDescent="0.25">
      <c r="A17" s="51">
        <v>15</v>
      </c>
      <c r="B17" s="55"/>
      <c r="C17" s="56" t="s">
        <v>2</v>
      </c>
      <c r="D17" s="123"/>
      <c r="E17" s="68"/>
      <c r="F17" s="73"/>
      <c r="G17" s="32" t="s">
        <v>2</v>
      </c>
      <c r="H17" s="33"/>
      <c r="J17" s="53"/>
      <c r="K17" s="53"/>
      <c r="L17" s="53"/>
      <c r="M17" s="53"/>
    </row>
    <row r="18" spans="1:13" x14ac:dyDescent="0.25">
      <c r="A18" s="51">
        <v>16</v>
      </c>
      <c r="B18" s="55"/>
      <c r="C18" s="56" t="str">
        <f>"fringe benefit multiplier @ "&amp;(100*$D$3)&amp;"%"</f>
        <v>fringe benefit multiplier @ 37.49%</v>
      </c>
      <c r="D18" s="74">
        <f>1+$D$3</f>
        <v>1.3749</v>
      </c>
      <c r="E18" s="68"/>
      <c r="F18" s="73"/>
      <c r="G18" s="32" t="s">
        <v>88</v>
      </c>
      <c r="H18" s="34">
        <f>6*9.25</f>
        <v>55.5</v>
      </c>
      <c r="J18" s="53"/>
      <c r="K18" s="53"/>
      <c r="L18" s="53"/>
      <c r="M18" s="53"/>
    </row>
    <row r="19" spans="1:13" ht="21" customHeight="1" x14ac:dyDescent="0.25">
      <c r="A19" s="51">
        <v>17</v>
      </c>
      <c r="B19" s="55"/>
      <c r="C19" s="56" t="str">
        <f>"modified hourly wage = line " &amp; A17 &amp; "* line " &amp; A18</f>
        <v>modified hourly wage = line 15* line 16</v>
      </c>
      <c r="D19" s="75">
        <f>ROUNDDOWN((D18*D17),2)</f>
        <v>0</v>
      </c>
      <c r="E19" s="68"/>
      <c r="F19" s="73"/>
      <c r="G19" s="35" t="str">
        <f>"lesser of  line " &amp;E17 &amp; " or line " &amp; E18</f>
        <v xml:space="preserve">lesser of  line  or line </v>
      </c>
      <c r="H19" s="36">
        <f>MIN(H17:H18)</f>
        <v>55.5</v>
      </c>
      <c r="J19" s="53"/>
      <c r="K19" s="53"/>
      <c r="L19" s="53"/>
      <c r="M19" s="53"/>
    </row>
    <row r="20" spans="1:13" x14ac:dyDescent="0.25">
      <c r="A20" s="51">
        <v>18</v>
      </c>
      <c r="B20" s="55"/>
      <c r="C20" s="56" t="s">
        <v>3</v>
      </c>
      <c r="D20" s="113"/>
      <c r="E20" s="76"/>
      <c r="F20" s="73"/>
      <c r="G20" s="32" t="str">
        <f>"fringe benefit multiplier @ "&amp;(100*$D$3)&amp;"%"</f>
        <v>fringe benefit multiplier @ 37.49%</v>
      </c>
      <c r="H20" s="37">
        <f>1+$D$3</f>
        <v>1.3749</v>
      </c>
      <c r="J20" s="53"/>
      <c r="K20" s="53"/>
      <c r="L20" s="53"/>
      <c r="M20" s="53"/>
    </row>
    <row r="21" spans="1:13" x14ac:dyDescent="0.25">
      <c r="A21" s="51">
        <v>19</v>
      </c>
      <c r="B21" s="55"/>
      <c r="C21" s="58" t="str">
        <f>+"line "&amp;A19&amp;" multiplied by line " &amp; A20</f>
        <v>line 17 multiplied by line 18</v>
      </c>
      <c r="D21" s="53"/>
      <c r="E21" s="68">
        <f>ROUNDDOWN((D19*D20),2)</f>
        <v>0</v>
      </c>
      <c r="F21" s="73"/>
      <c r="G21" s="32" t="str">
        <f>"modified hourly wage = line " &amp; E19 &amp; "* line " &amp; E20</f>
        <v xml:space="preserve">modified hourly wage = line * line </v>
      </c>
      <c r="H21" s="38">
        <f>H20*H19</f>
        <v>76.306950000000001</v>
      </c>
      <c r="J21" s="53"/>
      <c r="K21" s="53"/>
      <c r="L21" s="53"/>
      <c r="M21" s="53"/>
    </row>
    <row r="22" spans="1:13" ht="16.5" thickBot="1" x14ac:dyDescent="0.3">
      <c r="A22" s="59">
        <v>20</v>
      </c>
      <c r="B22" s="46"/>
      <c r="C22" s="60" t="s">
        <v>74</v>
      </c>
      <c r="D22" s="77"/>
      <c r="E22" s="78"/>
      <c r="F22" s="129">
        <f>ROUNDDOWN((SUBTOTAL(9,E18:E21)),2)</f>
        <v>0</v>
      </c>
      <c r="G22" s="32" t="s">
        <v>3</v>
      </c>
      <c r="H22" s="39"/>
      <c r="J22" s="53"/>
      <c r="K22" s="53"/>
      <c r="L22" s="53"/>
      <c r="M22" s="53"/>
    </row>
    <row r="23" spans="1:13" x14ac:dyDescent="0.25">
      <c r="A23" s="51">
        <v>21</v>
      </c>
      <c r="B23" s="63" t="s">
        <v>21</v>
      </c>
      <c r="C23" s="52" t="s">
        <v>8</v>
      </c>
      <c r="D23" s="53"/>
      <c r="E23" s="68"/>
      <c r="F23" s="73"/>
      <c r="G23" s="32" t="s">
        <v>3</v>
      </c>
      <c r="H23" s="39"/>
      <c r="J23" s="53"/>
      <c r="K23" s="53"/>
      <c r="L23" s="53"/>
      <c r="M23" s="53"/>
    </row>
    <row r="24" spans="1:13" ht="30" x14ac:dyDescent="0.25">
      <c r="A24" s="51">
        <v>22</v>
      </c>
      <c r="B24" s="222"/>
      <c r="C24" s="56" t="s">
        <v>2</v>
      </c>
      <c r="D24" s="123"/>
      <c r="E24" s="68"/>
      <c r="F24" s="73"/>
      <c r="J24" s="53"/>
      <c r="K24" s="53"/>
      <c r="L24" s="53"/>
      <c r="M24" s="53"/>
    </row>
    <row r="25" spans="1:13" x14ac:dyDescent="0.25">
      <c r="A25" s="51">
        <v>23</v>
      </c>
      <c r="B25" s="223"/>
      <c r="C25" s="56" t="str">
        <f>"fringe benefit multiplier @ "&amp;(100*$D$3)&amp;"%"</f>
        <v>fringe benefit multiplier @ 37.49%</v>
      </c>
      <c r="D25" s="74">
        <f>1+$D$3</f>
        <v>1.3749</v>
      </c>
      <c r="E25" s="68"/>
      <c r="F25" s="73"/>
      <c r="J25" s="53"/>
      <c r="K25" s="53"/>
      <c r="L25" s="53"/>
      <c r="M25" s="53"/>
    </row>
    <row r="26" spans="1:13" x14ac:dyDescent="0.25">
      <c r="A26" s="51">
        <v>24</v>
      </c>
      <c r="B26" s="55" t="s">
        <v>56</v>
      </c>
      <c r="C26" s="56" t="str">
        <f>"modified hourly wage = line " &amp; A24 &amp; "* line " &amp; A25</f>
        <v>modified hourly wage = line 22* line 23</v>
      </c>
      <c r="D26" s="75">
        <f>ROUNDDOWN((D25*D24),2)</f>
        <v>0</v>
      </c>
      <c r="E26" s="68"/>
      <c r="F26" s="73"/>
      <c r="G26" t="str">
        <f>(G6 &amp; " "&amp; G7 &amp;" @ "&amp;TEXT(H7,"$0.00"))</f>
        <v>Other:   @ $0.00</v>
      </c>
      <c r="J26" s="53"/>
      <c r="K26" s="53"/>
      <c r="L26" s="53"/>
      <c r="M26" s="53"/>
    </row>
    <row r="27" spans="1:13" x14ac:dyDescent="0.25">
      <c r="A27" s="51">
        <v>25</v>
      </c>
      <c r="B27" s="55"/>
      <c r="C27" s="56" t="s">
        <v>9</v>
      </c>
      <c r="D27" s="113"/>
      <c r="E27" s="76"/>
      <c r="F27" s="73"/>
      <c r="J27" s="53"/>
      <c r="K27" s="53"/>
      <c r="L27" s="53"/>
      <c r="M27" s="53"/>
    </row>
    <row r="28" spans="1:13" x14ac:dyDescent="0.25">
      <c r="A28" s="51">
        <v>26</v>
      </c>
      <c r="B28" s="57"/>
      <c r="C28" s="58" t="str">
        <f>+"line "&amp;A26&amp;" multiplied by line " &amp; A27</f>
        <v>line 24 multiplied by line 25</v>
      </c>
      <c r="D28" s="53"/>
      <c r="E28" s="68">
        <f>ROUNDDOWN((D26*D27),2)</f>
        <v>0</v>
      </c>
      <c r="F28" s="73"/>
      <c r="G28" t="s">
        <v>55</v>
      </c>
      <c r="J28" s="53"/>
      <c r="K28" s="53"/>
      <c r="L28" s="53"/>
      <c r="M28" s="53"/>
    </row>
    <row r="29" spans="1:13" ht="30" x14ac:dyDescent="0.25">
      <c r="A29" s="51">
        <v>27</v>
      </c>
      <c r="B29" s="230"/>
      <c r="C29" s="56" t="s">
        <v>2</v>
      </c>
      <c r="D29" s="123"/>
      <c r="E29" s="68"/>
      <c r="F29" s="73"/>
      <c r="J29" s="53"/>
      <c r="K29" s="53"/>
      <c r="L29" s="53"/>
      <c r="M29" s="53"/>
    </row>
    <row r="30" spans="1:13" x14ac:dyDescent="0.25">
      <c r="A30" s="51">
        <v>28</v>
      </c>
      <c r="B30" s="223"/>
      <c r="C30" s="56" t="str">
        <f>"fringe benefit multiplier @ "&amp;(100*$D$3)&amp;"%"</f>
        <v>fringe benefit multiplier @ 37.49%</v>
      </c>
      <c r="D30" s="74">
        <f>1+$D$3</f>
        <v>1.3749</v>
      </c>
      <c r="E30" s="68"/>
      <c r="F30" s="73"/>
      <c r="G30" s="1"/>
      <c r="J30" s="53"/>
      <c r="K30" s="53"/>
      <c r="L30" s="53"/>
      <c r="M30" s="53"/>
    </row>
    <row r="31" spans="1:13" x14ac:dyDescent="0.25">
      <c r="A31" s="51">
        <v>29</v>
      </c>
      <c r="B31" s="55" t="s">
        <v>56</v>
      </c>
      <c r="C31" s="56" t="s">
        <v>72</v>
      </c>
      <c r="D31" s="75">
        <f>ROUNDDOWN((D30*D29),2)</f>
        <v>0</v>
      </c>
      <c r="E31" s="68"/>
      <c r="F31" s="73"/>
      <c r="G31" s="1"/>
      <c r="J31" s="53"/>
      <c r="K31" s="53"/>
      <c r="L31" s="53"/>
      <c r="M31" s="53"/>
    </row>
    <row r="32" spans="1:13" x14ac:dyDescent="0.25">
      <c r="A32" s="51">
        <v>30</v>
      </c>
      <c r="B32" s="55"/>
      <c r="C32" s="56" t="s">
        <v>9</v>
      </c>
      <c r="D32" s="113"/>
      <c r="E32" s="76"/>
      <c r="F32" s="73"/>
      <c r="G32" s="1"/>
      <c r="J32" s="53"/>
      <c r="K32" s="53"/>
      <c r="L32" s="53"/>
      <c r="M32" s="53"/>
    </row>
    <row r="33" spans="1:13" x14ac:dyDescent="0.25">
      <c r="A33" s="51">
        <v>31</v>
      </c>
      <c r="B33" s="57"/>
      <c r="C33" s="58" t="str">
        <f>+"line "&amp;A31&amp;" multiplied by line " &amp; A32</f>
        <v>line 29 multiplied by line 30</v>
      </c>
      <c r="D33" s="53"/>
      <c r="E33" s="68">
        <f>ROUNDDOWN((D31*D32),2)</f>
        <v>0</v>
      </c>
      <c r="F33" s="73"/>
      <c r="G33" s="1"/>
      <c r="J33" s="53"/>
      <c r="K33" s="53"/>
      <c r="L33" s="53"/>
      <c r="M33" s="53"/>
    </row>
    <row r="34" spans="1:13" ht="16.5" thickBot="1" x14ac:dyDescent="0.3">
      <c r="A34" s="59">
        <v>32</v>
      </c>
      <c r="B34" s="46"/>
      <c r="C34" s="60" t="s">
        <v>75</v>
      </c>
      <c r="D34" s="77"/>
      <c r="E34" s="78"/>
      <c r="F34" s="129">
        <f>ROUNDDOWN((SUBTOTAL(9,E24:E33)),2)</f>
        <v>0</v>
      </c>
      <c r="G34" s="1"/>
      <c r="J34" s="53"/>
      <c r="K34" s="53"/>
      <c r="L34" s="53"/>
      <c r="M34" s="53"/>
    </row>
    <row r="35" spans="1:13" ht="16.5" thickBot="1" x14ac:dyDescent="0.3">
      <c r="A35" s="114">
        <v>33</v>
      </c>
      <c r="B35" s="96"/>
      <c r="C35" s="115"/>
      <c r="D35" s="115"/>
      <c r="E35" s="98" t="str">
        <f>"Estimated TOTAL Labor costs - sum of lines "&amp;A15&amp;", "&amp; A22&amp;", and "&amp; A34&amp;":"</f>
        <v>Estimated TOTAL Labor costs - sum of lines 13, 20, and 32:</v>
      </c>
      <c r="F35" s="131">
        <f>ROUNDDOWN((F15+F22+F34),2)</f>
        <v>0</v>
      </c>
      <c r="J35" s="53"/>
      <c r="K35" s="53"/>
      <c r="L35" s="53"/>
      <c r="M35" s="53"/>
    </row>
    <row r="36" spans="1:13" x14ac:dyDescent="0.25">
      <c r="A36" s="51">
        <v>34</v>
      </c>
      <c r="B36" s="55" t="s">
        <v>26</v>
      </c>
      <c r="C36" s="52" t="s">
        <v>18</v>
      </c>
      <c r="D36" s="53"/>
      <c r="E36" s="68"/>
      <c r="F36" s="54"/>
      <c r="J36" s="53"/>
      <c r="K36" s="53"/>
      <c r="L36" s="53"/>
      <c r="M36" s="53"/>
    </row>
    <row r="37" spans="1:13" x14ac:dyDescent="0.25">
      <c r="A37" s="51">
        <v>35</v>
      </c>
      <c r="B37" s="55"/>
      <c r="C37" s="56" t="s">
        <v>32</v>
      </c>
      <c r="D37" s="116"/>
      <c r="E37" s="68"/>
      <c r="F37" s="54"/>
      <c r="J37" s="53"/>
      <c r="K37" s="53"/>
      <c r="L37" s="53"/>
      <c r="M37" s="53"/>
    </row>
    <row r="38" spans="1:13" x14ac:dyDescent="0.25">
      <c r="A38" s="51">
        <v>36</v>
      </c>
      <c r="B38" s="55"/>
      <c r="C38" s="56" t="str">
        <f>+"reduction at 5% / day = 0.05 x line " &amp; A37</f>
        <v>reduction at 5% / day = 0.05 x line 35</v>
      </c>
      <c r="D38" s="80">
        <f>0.05*D37</f>
        <v>0</v>
      </c>
      <c r="E38" s="68"/>
      <c r="F38" s="54"/>
      <c r="J38" s="53"/>
      <c r="K38" s="53"/>
      <c r="L38" s="53"/>
      <c r="M38" s="53"/>
    </row>
    <row r="39" spans="1:13" x14ac:dyDescent="0.25">
      <c r="A39" s="51">
        <v>37</v>
      </c>
      <c r="B39" s="55"/>
      <c r="C39" s="56" t="s">
        <v>10</v>
      </c>
      <c r="D39" s="80">
        <v>0.5</v>
      </c>
      <c r="E39" s="68"/>
      <c r="F39" s="54"/>
      <c r="J39" s="53"/>
      <c r="K39" s="53"/>
      <c r="L39" s="53"/>
      <c r="M39" s="53"/>
    </row>
    <row r="40" spans="1:13" x14ac:dyDescent="0.25">
      <c r="A40" s="51">
        <v>38</v>
      </c>
      <c r="B40" s="55"/>
      <c r="C40" s="56" t="str">
        <f>"lesser of  line "&amp;A38&amp;" or line "&amp;A39</f>
        <v>lesser of  line 36 or line 37</v>
      </c>
      <c r="D40" s="81">
        <f>MIN(D38:D39)</f>
        <v>0</v>
      </c>
      <c r="E40" s="68"/>
      <c r="F40" s="54"/>
      <c r="J40" s="53"/>
      <c r="K40" s="53"/>
      <c r="L40" s="53"/>
      <c r="M40" s="53"/>
    </row>
    <row r="41" spans="1:13" thickBot="1" x14ac:dyDescent="0.3">
      <c r="A41" s="51">
        <v>39</v>
      </c>
      <c r="B41" s="55"/>
      <c r="C41" s="56" t="str">
        <f>"Reduced amount = line "&amp;A40&amp;" x line "&amp;A35</f>
        <v>Reduced amount = line 38 x line 33</v>
      </c>
      <c r="D41" s="53"/>
      <c r="E41" s="68"/>
      <c r="F41" s="124">
        <f>-ROUNDUP((D40*F35),2)</f>
        <v>0</v>
      </c>
      <c r="J41" s="53"/>
      <c r="K41" s="53"/>
      <c r="L41" s="53"/>
      <c r="M41" s="53"/>
    </row>
    <row r="42" spans="1:13" ht="17.25" thickTop="1" thickBot="1" x14ac:dyDescent="0.3">
      <c r="A42" s="82">
        <v>40</v>
      </c>
      <c r="B42" s="83"/>
      <c r="C42" s="84"/>
      <c r="D42" s="84"/>
      <c r="E42" s="85" t="s">
        <v>76</v>
      </c>
      <c r="F42" s="142">
        <f>ROUNDDOWN((F35+F41),2)</f>
        <v>0</v>
      </c>
      <c r="G42" s="70"/>
      <c r="H42" s="70"/>
      <c r="I42" s="70"/>
      <c r="J42" s="53"/>
      <c r="K42" s="53"/>
      <c r="L42" s="53"/>
      <c r="M42" s="53"/>
    </row>
    <row r="43" spans="1:13" ht="35.25" customHeight="1" thickTop="1" thickBot="1" x14ac:dyDescent="0.3">
      <c r="A43" s="231" t="s">
        <v>60</v>
      </c>
      <c r="B43" s="231"/>
      <c r="C43" s="231"/>
      <c r="D43" s="231"/>
      <c r="E43" s="231"/>
      <c r="F43" s="231"/>
      <c r="G43" s="70"/>
      <c r="H43" s="70"/>
      <c r="I43" s="70"/>
      <c r="J43" s="53"/>
      <c r="K43" s="53"/>
      <c r="L43" s="53"/>
      <c r="M43" s="53"/>
    </row>
    <row r="44" spans="1:13" ht="32.25" customHeight="1" thickTop="1" thickBot="1" x14ac:dyDescent="0.3">
      <c r="A44" s="82">
        <v>40</v>
      </c>
      <c r="B44" s="83"/>
      <c r="C44" s="227" t="s">
        <v>77</v>
      </c>
      <c r="D44" s="228"/>
      <c r="E44" s="228"/>
      <c r="F44" s="141">
        <f>F42</f>
        <v>0</v>
      </c>
      <c r="G44" s="70"/>
      <c r="H44" s="70"/>
      <c r="I44" s="70"/>
    </row>
    <row r="45" spans="1:13" ht="18.75" customHeight="1" thickTop="1" x14ac:dyDescent="0.25">
      <c r="A45" s="51">
        <v>41</v>
      </c>
      <c r="B45" s="55" t="s">
        <v>24</v>
      </c>
      <c r="C45" s="52" t="s">
        <v>83</v>
      </c>
      <c r="D45" s="53"/>
      <c r="E45" s="68"/>
      <c r="F45" s="54"/>
    </row>
    <row r="46" spans="1:13" x14ac:dyDescent="0.25">
      <c r="A46" s="51">
        <v>42</v>
      </c>
      <c r="B46" s="55"/>
      <c r="C46" s="56" t="s">
        <v>7</v>
      </c>
      <c r="D46" s="164"/>
      <c r="E46" s="68"/>
      <c r="F46" s="54"/>
    </row>
    <row r="47" spans="1:13" x14ac:dyDescent="0.25">
      <c r="A47" s="51">
        <v>43</v>
      </c>
      <c r="B47" s="55"/>
      <c r="C47" s="56" t="s">
        <v>6</v>
      </c>
      <c r="D47" s="86">
        <v>0.1</v>
      </c>
      <c r="E47" s="76"/>
      <c r="F47" s="54"/>
    </row>
    <row r="48" spans="1:13" ht="18" customHeight="1" x14ac:dyDescent="0.25">
      <c r="A48" s="51">
        <v>44</v>
      </c>
      <c r="B48" s="55"/>
      <c r="C48" s="61" t="str">
        <f>+"line "&amp;A46&amp;" multiplied by line " &amp; A47</f>
        <v>line 42 multiplied by line 43</v>
      </c>
      <c r="D48" s="87"/>
      <c r="E48" s="68">
        <f>D46*D47</f>
        <v>0</v>
      </c>
      <c r="F48" s="54"/>
    </row>
    <row r="49" spans="1:9" x14ac:dyDescent="0.25">
      <c r="A49" s="51">
        <v>45</v>
      </c>
      <c r="B49" s="55"/>
      <c r="C49" s="119" t="s">
        <v>34</v>
      </c>
      <c r="D49" s="117"/>
      <c r="E49" s="68"/>
      <c r="F49" s="54"/>
    </row>
    <row r="50" spans="1:9" x14ac:dyDescent="0.25">
      <c r="A50" s="51">
        <v>46</v>
      </c>
      <c r="B50" s="55"/>
      <c r="C50" s="69" t="s">
        <v>33</v>
      </c>
      <c r="D50" s="118"/>
      <c r="E50" s="76"/>
      <c r="F50" s="54"/>
    </row>
    <row r="51" spans="1:9" x14ac:dyDescent="0.25">
      <c r="A51" s="51">
        <v>47</v>
      </c>
      <c r="B51" s="55"/>
      <c r="C51" s="61" t="str">
        <f>+"line "&amp;A49&amp;" multiplied by line " &amp; A50</f>
        <v>line 45 multiplied by line 46</v>
      </c>
      <c r="D51" s="87"/>
      <c r="E51" s="68">
        <f>D49*D50</f>
        <v>0</v>
      </c>
      <c r="F51" s="54"/>
    </row>
    <row r="52" spans="1:9" x14ac:dyDescent="0.25">
      <c r="A52" s="51">
        <v>48</v>
      </c>
      <c r="B52" s="55"/>
      <c r="C52" s="119" t="s">
        <v>34</v>
      </c>
      <c r="D52" s="117"/>
      <c r="E52" s="68"/>
      <c r="F52" s="54"/>
    </row>
    <row r="53" spans="1:9" ht="15" customHeight="1" x14ac:dyDescent="0.25">
      <c r="A53" s="51">
        <v>49</v>
      </c>
      <c r="B53" s="55"/>
      <c r="C53" s="69" t="s">
        <v>33</v>
      </c>
      <c r="D53" s="118"/>
      <c r="E53" s="76"/>
      <c r="F53" s="54"/>
    </row>
    <row r="54" spans="1:9" x14ac:dyDescent="0.25">
      <c r="A54" s="51">
        <v>50</v>
      </c>
      <c r="B54" s="55"/>
      <c r="C54" s="61" t="str">
        <f>+"line "&amp;A52&amp;" multiplied by line " &amp; A53</f>
        <v>line 48 multiplied by line 49</v>
      </c>
      <c r="D54" s="87"/>
      <c r="E54" s="68">
        <f>D52*D53</f>
        <v>0</v>
      </c>
      <c r="F54" s="54"/>
    </row>
    <row r="55" spans="1:9" ht="16.5" thickBot="1" x14ac:dyDescent="0.3">
      <c r="A55" s="59">
        <v>51</v>
      </c>
      <c r="B55" s="46"/>
      <c r="C55" s="60" t="s">
        <v>84</v>
      </c>
      <c r="D55" s="77"/>
      <c r="E55" s="78"/>
      <c r="F55" s="79">
        <f>SUBTOTAL(9,E45:E54)</f>
        <v>0</v>
      </c>
      <c r="H55" s="2"/>
    </row>
    <row r="56" spans="1:9" x14ac:dyDescent="0.25">
      <c r="A56" s="51">
        <v>52</v>
      </c>
      <c r="B56" s="88" t="s">
        <v>23</v>
      </c>
      <c r="C56" s="89" t="s">
        <v>85</v>
      </c>
      <c r="D56" s="90"/>
      <c r="E56" s="91"/>
      <c r="F56" s="92"/>
    </row>
    <row r="57" spans="1:9" x14ac:dyDescent="0.25">
      <c r="A57" s="51">
        <v>53</v>
      </c>
      <c r="B57" s="55"/>
      <c r="C57" s="62" t="str">
        <f>"Number of "&amp;G3&amp;IF(H3=0,""," @ "&amp;TEXT(H3,"$0.00"))</f>
        <v>Number of CD's @ $1.00</v>
      </c>
      <c r="D57" s="120"/>
      <c r="E57" s="68">
        <f>D57*H3</f>
        <v>0</v>
      </c>
      <c r="F57" s="54"/>
    </row>
    <row r="58" spans="1:9" x14ac:dyDescent="0.25">
      <c r="A58" s="51">
        <v>54</v>
      </c>
      <c r="B58" s="55"/>
      <c r="C58" s="62" t="str">
        <f>"Number of "&amp;G4&amp;IF(H4=0,""," @ "&amp;TEXT(H4,"$0.00"))</f>
        <v>Number of Flash Drives</v>
      </c>
      <c r="D58" s="120"/>
      <c r="E58" s="68">
        <f>D58*H4</f>
        <v>0</v>
      </c>
      <c r="F58" s="54"/>
    </row>
    <row r="59" spans="1:9" x14ac:dyDescent="0.25">
      <c r="A59" s="51">
        <v>55</v>
      </c>
      <c r="B59" s="55"/>
      <c r="C59" s="62" t="str">
        <f>"Number of "&amp;G5&amp;IF(H5=0,""," @ "&amp;TEXT(H5,"$0.00"))</f>
        <v>Number of Tapes</v>
      </c>
      <c r="D59" s="120"/>
      <c r="E59" s="68">
        <f>D59*H5</f>
        <v>0</v>
      </c>
      <c r="F59" s="54"/>
    </row>
    <row r="60" spans="1:9" x14ac:dyDescent="0.25">
      <c r="A60" s="51">
        <v>56</v>
      </c>
      <c r="B60" s="55"/>
      <c r="C60" s="56" t="str">
        <f>G6 &amp; " "&amp; IF(G7="","", G7) &amp;IF(H7=0,""," @ "&amp;TEXT(H7,"$0.00"))</f>
        <v xml:space="preserve">Other:  </v>
      </c>
      <c r="D60" s="121"/>
      <c r="E60" s="68">
        <f>D60*H7</f>
        <v>0</v>
      </c>
      <c r="F60" s="54"/>
    </row>
    <row r="61" spans="1:9" x14ac:dyDescent="0.25">
      <c r="A61" s="51">
        <v>57</v>
      </c>
      <c r="B61" s="93"/>
      <c r="C61" s="94" t="str">
        <f>"Sum of lines " &amp; A57 &amp; " - " &amp; A60</f>
        <v>Sum of lines 53 - 56</v>
      </c>
      <c r="D61" s="53"/>
      <c r="E61" s="68">
        <f>SUM(E57:E60)</f>
        <v>0</v>
      </c>
      <c r="F61" s="54"/>
    </row>
    <row r="62" spans="1:9" ht="16.5" thickBot="1" x14ac:dyDescent="0.3">
      <c r="A62" s="59">
        <v>58</v>
      </c>
      <c r="B62" s="46"/>
      <c r="C62" s="60" t="s">
        <v>86</v>
      </c>
      <c r="D62" s="77"/>
      <c r="E62" s="78"/>
      <c r="F62" s="79">
        <f>E61</f>
        <v>0</v>
      </c>
    </row>
    <row r="63" spans="1:9" ht="16.5" thickBot="1" x14ac:dyDescent="0.3">
      <c r="A63" s="203">
        <v>59</v>
      </c>
      <c r="B63" s="204"/>
      <c r="C63" s="205"/>
      <c r="D63" s="205"/>
      <c r="E63" s="206" t="str">
        <f>"Estimated Costs of paper copies and electronic media - sum of lines "&amp;A55&amp;" and " &amp; A62&amp;":"</f>
        <v>Estimated Costs of paper copies and electronic media - sum of lines 51 and 58:</v>
      </c>
      <c r="F63" s="207">
        <f>F55+F62</f>
        <v>0</v>
      </c>
      <c r="G63" s="70"/>
      <c r="H63" s="70"/>
      <c r="I63" s="70"/>
    </row>
    <row r="64" spans="1:9" s="196" customFormat="1" ht="26.25" customHeight="1" thickBot="1" x14ac:dyDescent="0.3">
      <c r="A64" s="210">
        <v>60</v>
      </c>
      <c r="B64" s="49" t="s">
        <v>20</v>
      </c>
      <c r="C64" s="211" t="s">
        <v>87</v>
      </c>
      <c r="D64" s="212"/>
      <c r="E64" s="213"/>
      <c r="F64" s="214">
        <f>D64</f>
        <v>0</v>
      </c>
    </row>
    <row r="65" spans="1:9" x14ac:dyDescent="0.25">
      <c r="A65" s="150">
        <v>61</v>
      </c>
      <c r="B65" s="107" t="s">
        <v>25</v>
      </c>
      <c r="C65" s="208" t="s">
        <v>16</v>
      </c>
      <c r="D65" s="209"/>
      <c r="E65" s="153"/>
      <c r="F65" s="154"/>
    </row>
    <row r="66" spans="1:9" s="200" customFormat="1" ht="21.75" customHeight="1" thickBot="1" x14ac:dyDescent="0.3">
      <c r="A66" s="215">
        <v>62</v>
      </c>
      <c r="B66" s="194"/>
      <c r="C66" s="202" t="s">
        <v>17</v>
      </c>
      <c r="D66" s="198"/>
      <c r="E66" s="195"/>
      <c r="F66" s="197">
        <f>-IF(D66="y",20,)</f>
        <v>0</v>
      </c>
      <c r="G66" s="199"/>
      <c r="H66" s="199"/>
      <c r="I66" s="199"/>
    </row>
    <row r="67" spans="1:9" ht="32.25" customHeight="1" thickTop="1" thickBot="1" x14ac:dyDescent="0.3">
      <c r="A67" s="99">
        <v>63</v>
      </c>
      <c r="B67" s="224" t="str">
        <f>"Estimated Net Charge after any reductions, but not less than zero
 - sum of lines "&amp;A42&amp;", " &amp;A63&amp;", " &amp;A64&amp;", and " &amp; A66&amp;":"</f>
        <v>Estimated Net Charge after any reductions, but not less than zero
 - sum of lines 40, 59, 60, and 62:</v>
      </c>
      <c r="C67" s="224"/>
      <c r="D67" s="224"/>
      <c r="E67" s="224"/>
      <c r="F67" s="192">
        <f>IF((F42+F63+F64+F66)&lt;0.01,0,(F42+F63+F64+F66))</f>
        <v>0</v>
      </c>
      <c r="G67" s="70"/>
      <c r="H67" s="70"/>
      <c r="I67" s="70"/>
    </row>
    <row r="68" spans="1:9" ht="33.75" customHeight="1" thickTop="1" thickBot="1" x14ac:dyDescent="0.3">
      <c r="A68" s="99">
        <v>64</v>
      </c>
      <c r="B68" s="229" t="str">
        <f>"MAXIMUM AMOUNT FOR DEPOSIT - 
50% of line "&amp; A67&amp;", but only if line "&amp; A67&amp;" exceeds $50.00:"</f>
        <v>MAXIMUM AMOUNT FOR DEPOSIT - 
50% of line 63, but only if line 63 exceeds $50.00:</v>
      </c>
      <c r="C68" s="229"/>
      <c r="D68" s="229"/>
      <c r="E68" s="229"/>
      <c r="F68" s="139">
        <f>IF(F67&gt;50,(ROUNDDOWN((F67/2),2)),0)</f>
        <v>0</v>
      </c>
      <c r="G68" s="201"/>
      <c r="H68" s="70"/>
      <c r="I68" s="70"/>
    </row>
    <row r="69" spans="1:9" ht="16.5" thickTop="1" x14ac:dyDescent="0.25">
      <c r="A69" s="157">
        <v>65</v>
      </c>
      <c r="B69" s="55"/>
      <c r="C69" s="61" t="s">
        <v>65</v>
      </c>
      <c r="D69" s="130"/>
      <c r="E69" s="68"/>
      <c r="F69" s="162"/>
    </row>
    <row r="70" spans="1:9" ht="16.5" thickBot="1" x14ac:dyDescent="0.3">
      <c r="A70" s="59">
        <v>66</v>
      </c>
      <c r="B70" s="46"/>
      <c r="C70" s="100" t="s">
        <v>58</v>
      </c>
      <c r="D70" s="77"/>
      <c r="E70" s="78"/>
      <c r="F70" s="193">
        <f>-D69</f>
        <v>0</v>
      </c>
    </row>
    <row r="71" spans="1:9" s="191" customFormat="1" ht="22.5" thickTop="1" thickBot="1" x14ac:dyDescent="0.35">
      <c r="A71" s="188">
        <v>67</v>
      </c>
      <c r="B71" s="226" t="str">
        <f>"DEPOSIT REQUIRED - Line " &amp;A68&amp;" offset by line "&amp;A70&amp;", but not less than zero:"</f>
        <v>DEPOSIT REQUIRED - Line 64 offset by line 66, but not less than zero:</v>
      </c>
      <c r="C71" s="226"/>
      <c r="D71" s="226"/>
      <c r="E71" s="226"/>
      <c r="F71" s="179">
        <f>IF((F68+F70)&lt;0.01,0,(F68+F70))</f>
        <v>0</v>
      </c>
      <c r="G71" s="189"/>
      <c r="H71" s="190"/>
      <c r="I71" s="190"/>
    </row>
    <row r="72" spans="1:9" ht="18.75" x14ac:dyDescent="0.3">
      <c r="A72" s="103"/>
      <c r="B72" s="104"/>
      <c r="C72" s="105"/>
      <c r="D72" s="105"/>
      <c r="E72" s="105"/>
      <c r="F72" s="106"/>
      <c r="G72" s="5"/>
      <c r="H72" s="5"/>
      <c r="I72" s="5"/>
    </row>
    <row r="73" spans="1:9" ht="18.75" x14ac:dyDescent="0.3">
      <c r="A73" s="103"/>
      <c r="B73" s="104"/>
      <c r="C73" s="105"/>
      <c r="D73" s="105"/>
      <c r="E73" s="105"/>
      <c r="F73" s="106"/>
      <c r="G73" s="5"/>
      <c r="H73" s="5"/>
      <c r="I73" s="5"/>
    </row>
    <row r="74" spans="1:9" ht="18.75" x14ac:dyDescent="0.3">
      <c r="A74" s="103"/>
      <c r="B74" s="104"/>
      <c r="C74" s="105"/>
      <c r="D74" s="105"/>
      <c r="E74" s="105"/>
      <c r="F74" s="106"/>
      <c r="G74" s="5"/>
      <c r="H74" s="5"/>
      <c r="I74" s="5"/>
    </row>
    <row r="106" spans="1:6" ht="15" x14ac:dyDescent="0.25">
      <c r="A106"/>
      <c r="B106"/>
      <c r="C106"/>
      <c r="E106"/>
      <c r="F106"/>
    </row>
  </sheetData>
  <sheetProtection formatCells="0" formatColumns="0" selectLockedCells="1"/>
  <mergeCells count="9">
    <mergeCell ref="B71:E71"/>
    <mergeCell ref="B67:E67"/>
    <mergeCell ref="C44:E44"/>
    <mergeCell ref="B68:E68"/>
    <mergeCell ref="B5:B6"/>
    <mergeCell ref="B10:B11"/>
    <mergeCell ref="B24:B25"/>
    <mergeCell ref="B29:B30"/>
    <mergeCell ref="A43:F43"/>
  </mergeCells>
  <conditionalFormatting sqref="D7">
    <cfRule type="cellIs" dxfId="24" priority="18" operator="equal">
      <formula>0</formula>
    </cfRule>
  </conditionalFormatting>
  <conditionalFormatting sqref="D12">
    <cfRule type="cellIs" dxfId="23" priority="17" operator="equal">
      <formula>0</formula>
    </cfRule>
  </conditionalFormatting>
  <conditionalFormatting sqref="D19">
    <cfRule type="cellIs" dxfId="22" priority="16" operator="equal">
      <formula>0</formula>
    </cfRule>
  </conditionalFormatting>
  <conditionalFormatting sqref="D26">
    <cfRule type="cellIs" dxfId="21" priority="15" operator="equal">
      <formula>0</formula>
    </cfRule>
  </conditionalFormatting>
  <conditionalFormatting sqref="D31">
    <cfRule type="cellIs" dxfId="20" priority="14" operator="equal">
      <formula>0</formula>
    </cfRule>
  </conditionalFormatting>
  <conditionalFormatting sqref="E9">
    <cfRule type="cellIs" dxfId="19" priority="13" operator="equal">
      <formula>0</formula>
    </cfRule>
  </conditionalFormatting>
  <conditionalFormatting sqref="E14">
    <cfRule type="cellIs" dxfId="18" priority="12" operator="equal">
      <formula>0</formula>
    </cfRule>
  </conditionalFormatting>
  <conditionalFormatting sqref="E21">
    <cfRule type="cellIs" dxfId="17" priority="11" operator="equal">
      <formula>0</formula>
    </cfRule>
  </conditionalFormatting>
  <conditionalFormatting sqref="E28">
    <cfRule type="cellIs" dxfId="16" priority="10" operator="equal">
      <formula>0</formula>
    </cfRule>
  </conditionalFormatting>
  <conditionalFormatting sqref="E33">
    <cfRule type="cellIs" dxfId="15" priority="9" operator="equal">
      <formula>0</formula>
    </cfRule>
  </conditionalFormatting>
  <conditionalFormatting sqref="E48">
    <cfRule type="cellIs" dxfId="14" priority="8" operator="equal">
      <formula>0</formula>
    </cfRule>
  </conditionalFormatting>
  <conditionalFormatting sqref="E51">
    <cfRule type="cellIs" dxfId="13" priority="7" operator="equal">
      <formula>0</formula>
    </cfRule>
  </conditionalFormatting>
  <conditionalFormatting sqref="E54">
    <cfRule type="cellIs" dxfId="12" priority="6" operator="equal">
      <formula>0</formula>
    </cfRule>
  </conditionalFormatting>
  <conditionalFormatting sqref="E61">
    <cfRule type="cellIs" dxfId="11" priority="5" operator="equal">
      <formula>0</formula>
    </cfRule>
  </conditionalFormatting>
  <conditionalFormatting sqref="E60">
    <cfRule type="cellIs" dxfId="10" priority="2" operator="equal">
      <formula>0</formula>
    </cfRule>
  </conditionalFormatting>
  <conditionalFormatting sqref="F66">
    <cfRule type="cellIs" dxfId="9" priority="26" operator="lessThan">
      <formula>0</formula>
    </cfRule>
  </conditionalFormatting>
  <conditionalFormatting sqref="E57:E59">
    <cfRule type="cellIs" dxfId="8" priority="19" operator="equal">
      <formula>0</formula>
    </cfRule>
  </conditionalFormatting>
  <conditionalFormatting sqref="F64">
    <cfRule type="cellIs" dxfId="7" priority="1" operator="lessThan">
      <formula>0</formula>
    </cfRule>
  </conditionalFormatting>
  <pageMargins left="0.7" right="0.50916666666666699" top="0.75" bottom="0.75" header="0.3" footer="0.5"/>
  <pageSetup scale="90" fitToHeight="2" orientation="portrait" r:id="rId1"/>
  <headerFooter>
    <oddHeader>&amp;L&amp;"-,Italic"&amp;20FOIA FEE ESTIMATE &amp;14pursuant to MCL 15.234(8)&amp;C
&amp;G&amp;Rpursuant to MCL 15.234(4), 
effective January 1, 2016</oddHeader>
    <oddFooter xml:space="preserve">&amp;L&amp;8Revision date 02/22/2016&amp;C&amp;"-,Italic"&amp;24&amp;K0000FFFEE ESTIMATE&amp;RPage &amp;P  of 2 </oddFooter>
  </headerFooter>
  <rowBreaks count="1" manualBreakCount="1">
    <brk id="43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view="pageLayout" topLeftCell="A19" zoomScaleNormal="100" zoomScaleSheetLayoutView="100" workbookViewId="0">
      <selection activeCell="D12" sqref="D12"/>
    </sheetView>
  </sheetViews>
  <sheetFormatPr defaultRowHeight="15" x14ac:dyDescent="0.25"/>
  <cols>
    <col min="1" max="1" width="5.5703125" style="28" customWidth="1"/>
    <col min="2" max="2" width="14.42578125" style="29" bestFit="1" customWidth="1"/>
    <col min="3" max="3" width="51.28515625" style="30" customWidth="1"/>
    <col min="4" max="4" width="11" style="14" customWidth="1"/>
    <col min="5" max="5" width="13.140625" style="12" customWidth="1"/>
    <col min="6" max="6" width="6" style="12" customWidth="1"/>
    <col min="7" max="16384" width="9.140625" style="14"/>
  </cols>
  <sheetData>
    <row r="1" spans="1:7" x14ac:dyDescent="0.25">
      <c r="A1" s="135"/>
      <c r="B1" s="135"/>
      <c r="C1" s="135"/>
      <c r="D1" s="136" t="s">
        <v>61</v>
      </c>
      <c r="E1" s="137"/>
      <c r="F1" s="135"/>
    </row>
    <row r="2" spans="1:7" ht="15.75" thickBot="1" x14ac:dyDescent="0.3">
      <c r="A2" s="8" t="s">
        <v>1</v>
      </c>
      <c r="B2" s="9" t="s">
        <v>27</v>
      </c>
      <c r="C2" s="10" t="s">
        <v>0</v>
      </c>
      <c r="D2" s="8" t="s">
        <v>28</v>
      </c>
      <c r="E2" s="11" t="s">
        <v>30</v>
      </c>
      <c r="G2" s="13"/>
    </row>
    <row r="3" spans="1:7" x14ac:dyDescent="0.25">
      <c r="A3" s="185">
        <v>1</v>
      </c>
      <c r="B3" s="172"/>
      <c r="C3" s="16" t="s">
        <v>11</v>
      </c>
      <c r="D3" s="13"/>
      <c r="E3" s="17"/>
      <c r="F3" s="17"/>
      <c r="G3" s="13"/>
    </row>
    <row r="4" spans="1:7" x14ac:dyDescent="0.25">
      <c r="A4" s="185">
        <v>2</v>
      </c>
      <c r="B4" s="173"/>
      <c r="C4" s="18" t="s">
        <v>31</v>
      </c>
      <c r="D4" s="13"/>
      <c r="E4" s="17"/>
      <c r="F4" s="17"/>
      <c r="G4" s="13"/>
    </row>
    <row r="5" spans="1:7" x14ac:dyDescent="0.25">
      <c r="A5" s="185">
        <v>3</v>
      </c>
      <c r="B5" s="173"/>
      <c r="C5" s="19" t="s">
        <v>12</v>
      </c>
      <c r="D5" s="167"/>
      <c r="E5" s="17"/>
      <c r="F5" s="17"/>
      <c r="G5" s="13"/>
    </row>
    <row r="6" spans="1:7" x14ac:dyDescent="0.25">
      <c r="A6" s="185">
        <v>4</v>
      </c>
      <c r="B6" s="175" t="s">
        <v>36</v>
      </c>
      <c r="C6" s="187" t="s">
        <v>79</v>
      </c>
      <c r="D6" s="20">
        <f>IF(D5&gt;0,23.34,0)</f>
        <v>0</v>
      </c>
      <c r="E6" s="17"/>
      <c r="F6" s="17"/>
      <c r="G6" s="13"/>
    </row>
    <row r="7" spans="1:7" x14ac:dyDescent="0.25">
      <c r="A7" s="185">
        <v>5</v>
      </c>
      <c r="B7" s="175" t="s">
        <v>68</v>
      </c>
      <c r="C7" s="187" t="s">
        <v>80</v>
      </c>
      <c r="D7" s="20">
        <f>IF(D5&lt;21,D5*1.17,20*1.17)</f>
        <v>0</v>
      </c>
      <c r="E7" s="17"/>
      <c r="F7" s="17"/>
      <c r="G7" s="13"/>
    </row>
    <row r="8" spans="1:7" x14ac:dyDescent="0.25">
      <c r="A8" s="185">
        <v>6</v>
      </c>
      <c r="B8" s="175" t="s">
        <v>69</v>
      </c>
      <c r="C8" s="187" t="s">
        <v>81</v>
      </c>
      <c r="D8" s="20">
        <f>IF(D9&gt;0,(30*0.58),(IF(D5&gt;20,(D5-20)*0.58,0)))</f>
        <v>0</v>
      </c>
      <c r="E8" s="17"/>
      <c r="F8" s="17"/>
      <c r="G8" s="13"/>
    </row>
    <row r="9" spans="1:7" x14ac:dyDescent="0.25">
      <c r="A9" s="185">
        <v>7</v>
      </c>
      <c r="B9" s="175" t="s">
        <v>70</v>
      </c>
      <c r="C9" s="187" t="s">
        <v>82</v>
      </c>
      <c r="D9" s="21">
        <f>IF(D5&gt;50,(D5-50)*0.23,0)</f>
        <v>0</v>
      </c>
      <c r="E9" s="22">
        <f>SUBTOTAL(9,D6:D9)</f>
        <v>0</v>
      </c>
      <c r="F9" s="17"/>
      <c r="G9" s="13"/>
    </row>
    <row r="10" spans="1:7" ht="30.75" thickBot="1" x14ac:dyDescent="0.3">
      <c r="A10" s="185">
        <v>8</v>
      </c>
      <c r="B10" s="174" t="s">
        <v>37</v>
      </c>
      <c r="C10" s="176" t="s">
        <v>38</v>
      </c>
      <c r="D10" s="171"/>
      <c r="E10" s="166">
        <f>SUBTOTAL(9,D10)</f>
        <v>0</v>
      </c>
      <c r="F10" s="17"/>
      <c r="G10" s="13"/>
    </row>
    <row r="11" spans="1:7" ht="20.25" thickTop="1" thickBot="1" x14ac:dyDescent="0.35">
      <c r="A11" s="185">
        <v>9</v>
      </c>
      <c r="B11" s="173"/>
      <c r="C11" s="168"/>
      <c r="D11" s="170" t="s">
        <v>66</v>
      </c>
      <c r="E11" s="169">
        <f>SUM(E9:E10)</f>
        <v>0</v>
      </c>
      <c r="F11" s="17"/>
      <c r="G11" s="13"/>
    </row>
    <row r="12" spans="1:7" s="25" customFormat="1" ht="32.25" customHeight="1" thickBot="1" x14ac:dyDescent="0.3">
      <c r="A12" s="186">
        <v>10</v>
      </c>
      <c r="B12" s="174" t="s">
        <v>39</v>
      </c>
      <c r="C12" s="177" t="s">
        <v>71</v>
      </c>
      <c r="D12" s="178">
        <f>IF(D5&gt;0,(IF(D5&gt;4,(IF(D5&gt;8,0,0.47+0.21)),0.47)),0)</f>
        <v>0</v>
      </c>
      <c r="E12" s="165">
        <f>SUBTOTAL(9,D12)</f>
        <v>0</v>
      </c>
      <c r="F12" s="23"/>
      <c r="G12" s="24"/>
    </row>
    <row r="13" spans="1:7" ht="20.25" thickTop="1" thickBot="1" x14ac:dyDescent="0.35">
      <c r="A13" s="185">
        <v>11</v>
      </c>
      <c r="B13" s="16"/>
      <c r="C13" s="168"/>
      <c r="D13" s="170" t="s">
        <v>67</v>
      </c>
      <c r="E13" s="169">
        <f>SUM(D6:D12)</f>
        <v>0</v>
      </c>
      <c r="F13" s="17"/>
      <c r="G13" s="13"/>
    </row>
    <row r="14" spans="1:7" x14ac:dyDescent="0.25">
      <c r="A14" s="15"/>
      <c r="B14" s="16"/>
      <c r="C14" s="26"/>
      <c r="D14" s="13"/>
      <c r="E14" s="17"/>
      <c r="F14" s="17"/>
      <c r="G14" s="13"/>
    </row>
    <row r="15" spans="1:7" x14ac:dyDescent="0.25">
      <c r="A15" s="15"/>
      <c r="B15" s="16"/>
      <c r="C15" s="26"/>
      <c r="D15" s="13"/>
      <c r="E15" s="17"/>
      <c r="F15" s="17"/>
      <c r="G15" s="13"/>
    </row>
    <row r="16" spans="1:7" x14ac:dyDescent="0.25">
      <c r="A16" s="15"/>
      <c r="B16" s="16"/>
      <c r="C16" s="26"/>
      <c r="D16" s="13"/>
      <c r="E16" s="17"/>
      <c r="F16" s="17"/>
      <c r="G16" s="13"/>
    </row>
    <row r="17" spans="1:7" ht="18.75" customHeight="1" x14ac:dyDescent="0.25">
      <c r="A17" s="15"/>
      <c r="B17" s="173" t="s">
        <v>40</v>
      </c>
      <c r="C17" s="26" t="s">
        <v>41</v>
      </c>
      <c r="D17" s="13"/>
      <c r="E17" s="17"/>
      <c r="F17" s="17"/>
      <c r="G17" s="13"/>
    </row>
    <row r="18" spans="1:7" x14ac:dyDescent="0.25">
      <c r="A18" s="15"/>
      <c r="B18" s="16"/>
      <c r="C18" s="26"/>
      <c r="D18" s="13"/>
      <c r="E18" s="17"/>
      <c r="F18" s="17"/>
      <c r="G18" s="13"/>
    </row>
    <row r="19" spans="1:7" x14ac:dyDescent="0.25">
      <c r="A19" s="15"/>
      <c r="B19" s="16"/>
      <c r="C19" s="26"/>
      <c r="D19" s="13"/>
      <c r="E19" s="17"/>
      <c r="F19" s="17"/>
      <c r="G19" s="13"/>
    </row>
    <row r="20" spans="1:7" x14ac:dyDescent="0.25">
      <c r="A20" s="27"/>
      <c r="B20" s="16"/>
      <c r="C20" s="26"/>
      <c r="D20" s="13"/>
      <c r="E20" s="17"/>
      <c r="F20" s="17"/>
      <c r="G20" s="13"/>
    </row>
    <row r="21" spans="1:7" x14ac:dyDescent="0.25">
      <c r="A21" s="27"/>
      <c r="B21" s="16"/>
      <c r="C21" s="26"/>
      <c r="D21" s="13"/>
      <c r="E21" s="17"/>
      <c r="F21" s="17"/>
      <c r="G21" s="13"/>
    </row>
    <row r="22" spans="1:7" x14ac:dyDescent="0.25">
      <c r="A22" s="27"/>
      <c r="B22" s="16"/>
      <c r="C22" s="26"/>
      <c r="D22" s="13"/>
      <c r="E22" s="17"/>
      <c r="F22" s="17"/>
      <c r="G22" s="13"/>
    </row>
    <row r="23" spans="1:7" x14ac:dyDescent="0.25">
      <c r="A23" s="27"/>
      <c r="B23" s="16"/>
      <c r="C23" s="26"/>
      <c r="D23" s="13"/>
      <c r="E23" s="17"/>
      <c r="F23" s="17"/>
      <c r="G23" s="13"/>
    </row>
    <row r="24" spans="1:7" x14ac:dyDescent="0.25">
      <c r="A24" s="27"/>
      <c r="B24" s="16"/>
      <c r="C24" s="26"/>
      <c r="D24" s="13"/>
      <c r="E24" s="17"/>
      <c r="F24" s="17"/>
      <c r="G24" s="13"/>
    </row>
    <row r="25" spans="1:7" x14ac:dyDescent="0.25">
      <c r="A25" s="27"/>
      <c r="B25" s="16"/>
      <c r="C25" s="26"/>
      <c r="D25" s="13"/>
      <c r="E25" s="17"/>
      <c r="F25" s="17"/>
      <c r="G25" s="13"/>
    </row>
    <row r="26" spans="1:7" x14ac:dyDescent="0.25">
      <c r="A26" s="27"/>
      <c r="B26" s="16"/>
      <c r="C26" s="26"/>
      <c r="D26" s="13"/>
      <c r="E26" s="17"/>
      <c r="F26" s="17"/>
      <c r="G26" s="13"/>
    </row>
    <row r="27" spans="1:7" x14ac:dyDescent="0.25">
      <c r="A27" s="27"/>
      <c r="B27" s="16"/>
      <c r="C27" s="26"/>
      <c r="D27" s="13"/>
      <c r="E27" s="17"/>
      <c r="F27" s="17"/>
      <c r="G27" s="13"/>
    </row>
    <row r="28" spans="1:7" x14ac:dyDescent="0.25">
      <c r="A28" s="27"/>
      <c r="B28" s="16"/>
      <c r="C28" s="26"/>
      <c r="D28" s="13"/>
      <c r="E28" s="17"/>
      <c r="F28" s="17"/>
      <c r="G28" s="13"/>
    </row>
    <row r="29" spans="1:7" x14ac:dyDescent="0.25">
      <c r="A29" s="27"/>
      <c r="B29" s="16"/>
      <c r="C29" s="26"/>
      <c r="D29" s="13"/>
      <c r="E29" s="17"/>
      <c r="F29" s="17"/>
      <c r="G29" s="13"/>
    </row>
    <row r="30" spans="1:7" x14ac:dyDescent="0.25">
      <c r="A30" s="27"/>
      <c r="B30" s="16"/>
      <c r="C30" s="26"/>
      <c r="D30" s="13"/>
      <c r="E30" s="17"/>
      <c r="F30" s="17"/>
      <c r="G30" s="13"/>
    </row>
    <row r="31" spans="1:7" x14ac:dyDescent="0.25">
      <c r="A31" s="27"/>
      <c r="B31" s="16"/>
      <c r="C31" s="26"/>
      <c r="D31" s="13"/>
      <c r="E31" s="17"/>
      <c r="F31" s="17"/>
      <c r="G31" s="13"/>
    </row>
    <row r="32" spans="1:7" x14ac:dyDescent="0.25">
      <c r="A32" s="27"/>
      <c r="B32" s="16"/>
      <c r="C32" s="26"/>
      <c r="D32" s="13"/>
      <c r="E32" s="17"/>
      <c r="F32" s="17"/>
      <c r="G32" s="13"/>
    </row>
    <row r="33" spans="1:7" x14ac:dyDescent="0.25">
      <c r="A33" s="27"/>
      <c r="B33" s="16"/>
      <c r="C33" s="26"/>
      <c r="D33" s="13"/>
      <c r="E33" s="17"/>
      <c r="F33" s="17"/>
      <c r="G33" s="13"/>
    </row>
    <row r="34" spans="1:7" x14ac:dyDescent="0.25">
      <c r="A34" s="27"/>
      <c r="B34" s="16"/>
      <c r="C34" s="26"/>
      <c r="D34" s="13"/>
      <c r="E34" s="17"/>
      <c r="F34" s="17"/>
      <c r="G34" s="13"/>
    </row>
    <row r="35" spans="1:7" x14ac:dyDescent="0.25">
      <c r="A35" s="27"/>
      <c r="B35" s="16"/>
      <c r="C35" s="26"/>
      <c r="D35" s="13"/>
      <c r="E35" s="17"/>
      <c r="F35" s="17"/>
      <c r="G35" s="13"/>
    </row>
    <row r="36" spans="1:7" x14ac:dyDescent="0.25">
      <c r="A36" s="27"/>
      <c r="B36" s="16"/>
      <c r="C36" s="26"/>
      <c r="D36" s="13"/>
      <c r="E36" s="17"/>
      <c r="F36" s="17"/>
      <c r="G36" s="13"/>
    </row>
    <row r="37" spans="1:7" x14ac:dyDescent="0.25">
      <c r="A37" s="27"/>
      <c r="B37" s="16"/>
      <c r="C37" s="26"/>
      <c r="D37" s="13"/>
      <c r="E37" s="17"/>
      <c r="F37" s="17"/>
      <c r="G37" s="13"/>
    </row>
    <row r="38" spans="1:7" x14ac:dyDescent="0.25">
      <c r="A38" s="27"/>
      <c r="B38" s="16"/>
      <c r="C38" s="26"/>
      <c r="D38" s="13"/>
      <c r="E38" s="17"/>
      <c r="F38" s="17"/>
      <c r="G38" s="13"/>
    </row>
    <row r="39" spans="1:7" x14ac:dyDescent="0.25">
      <c r="A39" s="27"/>
      <c r="B39" s="16"/>
      <c r="C39" s="26"/>
      <c r="D39" s="13"/>
      <c r="E39" s="17"/>
      <c r="F39" s="17"/>
      <c r="G39" s="13"/>
    </row>
    <row r="40" spans="1:7" x14ac:dyDescent="0.25">
      <c r="A40" s="27"/>
      <c r="B40" s="16"/>
      <c r="C40" s="26"/>
      <c r="D40" s="13"/>
      <c r="E40" s="17"/>
      <c r="F40" s="17"/>
      <c r="G40" s="13"/>
    </row>
    <row r="41" spans="1:7" x14ac:dyDescent="0.25">
      <c r="A41" s="27"/>
      <c r="B41" s="16"/>
      <c r="C41" s="26"/>
      <c r="D41" s="13"/>
      <c r="E41" s="17"/>
      <c r="F41" s="17"/>
      <c r="G41" s="13"/>
    </row>
    <row r="42" spans="1:7" x14ac:dyDescent="0.25">
      <c r="A42" s="27"/>
      <c r="B42" s="16"/>
      <c r="C42" s="26"/>
      <c r="D42" s="13"/>
      <c r="E42" s="17"/>
      <c r="F42" s="17"/>
      <c r="G42" s="13"/>
    </row>
    <row r="43" spans="1:7" x14ac:dyDescent="0.25">
      <c r="A43" s="27"/>
      <c r="B43" s="16"/>
      <c r="C43" s="26"/>
      <c r="D43" s="13"/>
      <c r="E43" s="17"/>
      <c r="F43" s="17"/>
      <c r="G43" s="13"/>
    </row>
  </sheetData>
  <sheetProtection sheet="1" objects="1" scenarios="1" formatCells="0" formatColumns="0" insertRows="0" deleteRows="0" selectLockedCells="1"/>
  <conditionalFormatting sqref="E11">
    <cfRule type="cellIs" dxfId="6" priority="9" operator="greaterThan">
      <formula>0</formula>
    </cfRule>
  </conditionalFormatting>
  <conditionalFormatting sqref="D11:E11">
    <cfRule type="expression" dxfId="5" priority="8">
      <formula>$D$5&gt;0</formula>
    </cfRule>
  </conditionalFormatting>
  <conditionalFormatting sqref="C13">
    <cfRule type="expression" dxfId="4" priority="2">
      <formula>$D$5&gt;0</formula>
    </cfRule>
  </conditionalFormatting>
  <conditionalFormatting sqref="C11">
    <cfRule type="expression" dxfId="3" priority="5">
      <formula>$D$5&gt;0</formula>
    </cfRule>
  </conditionalFormatting>
  <conditionalFormatting sqref="E13">
    <cfRule type="cellIs" dxfId="2" priority="4" operator="greaterThan">
      <formula>0</formula>
    </cfRule>
  </conditionalFormatting>
  <conditionalFormatting sqref="D13:E13">
    <cfRule type="expression" dxfId="1" priority="3">
      <formula>$D$5&gt;0</formula>
    </cfRule>
  </conditionalFormatting>
  <conditionalFormatting sqref="D12">
    <cfRule type="expression" dxfId="0" priority="1">
      <formula>$D$5&gt;8</formula>
    </cfRule>
  </conditionalFormatting>
  <pageMargins left="0.7" right="0.50916666666666699" top="0.75" bottom="0.75" header="0.3" footer="0.3"/>
  <pageSetup scale="91" fitToHeight="2" orientation="portrait" r:id="rId1"/>
  <headerFooter>
    <oddHeader xml:space="preserve">&amp;C&amp;"-,Bold"&amp;14 2016 Medical Records Fee Itemization Form&amp;Rpursuant to MCL 333.26269 
</oddHeader>
    <oddFooter xml:space="preserve">&amp;L&amp;8Revision date  04/08/2016&amp;RPage &amp;P  of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FOIA Fees 01-01-2016</vt:lpstr>
      <vt:lpstr>FOIA Fee Estimate 01-01-2016</vt:lpstr>
      <vt:lpstr>MRAA Fees 2016</vt:lpstr>
      <vt:lpstr>'FOIA Fee Estimate 01-01-2016'!Print_Area</vt:lpstr>
      <vt:lpstr>'FOIA Fees 01-01-2016'!Print_Area</vt:lpstr>
      <vt:lpstr>'MRAA Fees 2016'!Print_Area</vt:lpstr>
      <vt:lpstr>'FOIA Fee Estimate 01-01-2016'!Print_Titles</vt:lpstr>
      <vt:lpstr>'FOIA Fees 01-01-2016'!Print_Titles</vt:lpstr>
      <vt:lpstr>'MRAA Fees 2016'!Print_Titles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Beckett</dc:creator>
  <cp:lastModifiedBy>Jack Dietrich</cp:lastModifiedBy>
  <cp:lastPrinted>2016-02-22T17:57:00Z</cp:lastPrinted>
  <dcterms:created xsi:type="dcterms:W3CDTF">2015-03-16T15:54:47Z</dcterms:created>
  <dcterms:modified xsi:type="dcterms:W3CDTF">2018-08-10T18:59:55Z</dcterms:modified>
  <cp:contentStatus/>
</cp:coreProperties>
</file>